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60" windowWidth="10815" windowHeight="12375" activeTab="2"/>
  </bookViews>
  <sheets>
    <sheet name="2020 год" sheetId="3" r:id="rId1"/>
    <sheet name="2021 год" sheetId="5" r:id="rId2"/>
    <sheet name="2022 год" sheetId="7" r:id="rId3"/>
  </sheets>
  <definedNames>
    <definedName name="_xlnm.Print_Area" localSheetId="0">'2020 год'!$A$1:$Q$91</definedName>
  </definedNames>
  <calcPr calcId="152511"/>
</workbook>
</file>

<file path=xl/calcChain.xml><?xml version="1.0" encoding="utf-8"?>
<calcChain xmlns="http://schemas.openxmlformats.org/spreadsheetml/2006/main">
  <c r="H90" i="7" l="1"/>
  <c r="G90" i="7"/>
  <c r="D90" i="7"/>
  <c r="C90" i="7"/>
  <c r="P88" i="7"/>
  <c r="H88" i="7"/>
  <c r="F88" i="7"/>
  <c r="E88" i="7" s="1"/>
  <c r="P87" i="7"/>
  <c r="P85" i="7" s="1"/>
  <c r="P84" i="7" s="1"/>
  <c r="H87" i="7"/>
  <c r="H85" i="7" s="1"/>
  <c r="F87" i="7"/>
  <c r="E87" i="7" s="1"/>
  <c r="G85" i="7"/>
  <c r="F85" i="7"/>
  <c r="J85" i="7" s="1"/>
  <c r="J84" i="7" s="1"/>
  <c r="D85" i="7"/>
  <c r="D84" i="7" s="1"/>
  <c r="C85" i="7"/>
  <c r="C84" i="7" s="1"/>
  <c r="F84" i="7"/>
  <c r="P83" i="7"/>
  <c r="H83" i="7"/>
  <c r="G83" i="7"/>
  <c r="G80" i="7" s="1"/>
  <c r="F83" i="7"/>
  <c r="P82" i="7"/>
  <c r="P80" i="7" s="1"/>
  <c r="P79" i="7" s="1"/>
  <c r="H82" i="7"/>
  <c r="F82" i="7"/>
  <c r="F80" i="7" s="1"/>
  <c r="D80" i="7"/>
  <c r="D79" i="7" s="1"/>
  <c r="C80" i="7"/>
  <c r="C79" i="7"/>
  <c r="P78" i="7"/>
  <c r="P75" i="7" s="1"/>
  <c r="P74" i="7" s="1"/>
  <c r="H78" i="7"/>
  <c r="H75" i="7" s="1"/>
  <c r="G78" i="7"/>
  <c r="G75" i="7" s="1"/>
  <c r="G74" i="7" s="1"/>
  <c r="F78" i="7"/>
  <c r="C75" i="7"/>
  <c r="D74" i="7"/>
  <c r="C74" i="7"/>
  <c r="P73" i="7"/>
  <c r="E73" i="7"/>
  <c r="H72" i="7"/>
  <c r="E72" i="7" s="1"/>
  <c r="D72" i="7"/>
  <c r="P72" i="7" s="1"/>
  <c r="P70" i="7" s="1"/>
  <c r="P71" i="7"/>
  <c r="L71" i="7"/>
  <c r="K71" i="7"/>
  <c r="M71" i="7" s="1"/>
  <c r="N71" i="7" s="1"/>
  <c r="Q71" i="7" s="1"/>
  <c r="J71" i="7"/>
  <c r="E71" i="7"/>
  <c r="G70" i="7"/>
  <c r="K70" i="7" s="1"/>
  <c r="F70" i="7"/>
  <c r="J70" i="7" s="1"/>
  <c r="J69" i="7" s="1"/>
  <c r="C70" i="7"/>
  <c r="C69" i="7" s="1"/>
  <c r="D69" i="7"/>
  <c r="E68" i="7"/>
  <c r="D68" i="7"/>
  <c r="P68" i="7" s="1"/>
  <c r="C68" i="7"/>
  <c r="P67" i="7"/>
  <c r="H67" i="7"/>
  <c r="E67" i="7" s="1"/>
  <c r="P66" i="7"/>
  <c r="L66" i="7"/>
  <c r="K66" i="7"/>
  <c r="J66" i="7"/>
  <c r="E66" i="7"/>
  <c r="G65" i="7"/>
  <c r="F65" i="7"/>
  <c r="F64" i="7" s="1"/>
  <c r="P64" i="7"/>
  <c r="D64" i="7"/>
  <c r="C64" i="7"/>
  <c r="P63" i="7"/>
  <c r="H63" i="7"/>
  <c r="E63" i="7" s="1"/>
  <c r="F63" i="7"/>
  <c r="H62" i="7"/>
  <c r="F62" i="7"/>
  <c r="E62" i="7" s="1"/>
  <c r="D62" i="7"/>
  <c r="P62" i="7" s="1"/>
  <c r="C62" i="7"/>
  <c r="P61" i="7"/>
  <c r="P59" i="7" s="1"/>
  <c r="L61" i="7"/>
  <c r="K61" i="7"/>
  <c r="J61" i="7"/>
  <c r="E61" i="7"/>
  <c r="K60" i="7"/>
  <c r="G60" i="7"/>
  <c r="G59" i="7"/>
  <c r="D59" i="7"/>
  <c r="C59" i="7"/>
  <c r="P58" i="7"/>
  <c r="F58" i="7"/>
  <c r="E58" i="7" s="1"/>
  <c r="P57" i="7"/>
  <c r="H57" i="7"/>
  <c r="F57" i="7"/>
  <c r="F55" i="7" s="1"/>
  <c r="H55" i="7"/>
  <c r="L55" i="7" s="1"/>
  <c r="L54" i="7" s="1"/>
  <c r="G55" i="7"/>
  <c r="D55" i="7"/>
  <c r="D54" i="7" s="1"/>
  <c r="C55" i="7"/>
  <c r="C54" i="7" s="1"/>
  <c r="H54" i="7"/>
  <c r="P53" i="7"/>
  <c r="P50" i="7" s="1"/>
  <c r="P49" i="7" s="1"/>
  <c r="H53" i="7"/>
  <c r="F53" i="7"/>
  <c r="P52" i="7"/>
  <c r="H52" i="7"/>
  <c r="F52" i="7"/>
  <c r="G50" i="7"/>
  <c r="G49" i="7" s="1"/>
  <c r="F50" i="7"/>
  <c r="J50" i="7" s="1"/>
  <c r="D50" i="7"/>
  <c r="D49" i="7" s="1"/>
  <c r="C50" i="7"/>
  <c r="C49" i="7"/>
  <c r="P48" i="7"/>
  <c r="H48" i="7"/>
  <c r="F48" i="7"/>
  <c r="E48" i="7"/>
  <c r="P47" i="7"/>
  <c r="P45" i="7" s="1"/>
  <c r="P44" i="7" s="1"/>
  <c r="H47" i="7"/>
  <c r="F47" i="7"/>
  <c r="F45" i="7" s="1"/>
  <c r="E47" i="7"/>
  <c r="L45" i="7"/>
  <c r="L44" i="7" s="1"/>
  <c r="H45" i="7"/>
  <c r="G45" i="7"/>
  <c r="D45" i="7"/>
  <c r="D44" i="7" s="1"/>
  <c r="C45" i="7"/>
  <c r="C44" i="7" s="1"/>
  <c r="H44" i="7"/>
  <c r="P43" i="7"/>
  <c r="L43" i="7"/>
  <c r="K43" i="7"/>
  <c r="J43" i="7"/>
  <c r="E43" i="7"/>
  <c r="P42" i="7"/>
  <c r="K42" i="7"/>
  <c r="K41" i="7" s="1"/>
  <c r="J42" i="7"/>
  <c r="H42" i="7"/>
  <c r="L42" i="7" s="1"/>
  <c r="E42" i="7"/>
  <c r="E41" i="7" s="1"/>
  <c r="G41" i="7"/>
  <c r="F41" i="7"/>
  <c r="D41" i="7"/>
  <c r="C41" i="7"/>
  <c r="P39" i="7"/>
  <c r="P38" i="7" s="1"/>
  <c r="K39" i="7"/>
  <c r="J39" i="7"/>
  <c r="J38" i="7" s="1"/>
  <c r="H39" i="7"/>
  <c r="K38" i="7"/>
  <c r="G38" i="7"/>
  <c r="F38" i="7"/>
  <c r="D38" i="7"/>
  <c r="C38" i="7"/>
  <c r="P36" i="7"/>
  <c r="P35" i="7" s="1"/>
  <c r="K36" i="7"/>
  <c r="K35" i="7" s="1"/>
  <c r="J36" i="7"/>
  <c r="H36" i="7"/>
  <c r="L36" i="7" s="1"/>
  <c r="L35" i="7"/>
  <c r="H35" i="7"/>
  <c r="G35" i="7"/>
  <c r="F35" i="7"/>
  <c r="D35" i="7"/>
  <c r="C35" i="7"/>
  <c r="P34" i="7"/>
  <c r="L34" i="7"/>
  <c r="K34" i="7"/>
  <c r="J34" i="7"/>
  <c r="M34" i="7" s="1"/>
  <c r="N34" i="7" s="1"/>
  <c r="Q34" i="7" s="1"/>
  <c r="E34" i="7"/>
  <c r="P33" i="7"/>
  <c r="K33" i="7"/>
  <c r="K32" i="7" s="1"/>
  <c r="J33" i="7"/>
  <c r="J32" i="7" s="1"/>
  <c r="H33" i="7"/>
  <c r="G32" i="7"/>
  <c r="F32" i="7"/>
  <c r="D32" i="7"/>
  <c r="C32" i="7"/>
  <c r="P31" i="7"/>
  <c r="P30" i="7"/>
  <c r="P29" i="7" s="1"/>
  <c r="L30" i="7"/>
  <c r="L29" i="7" s="1"/>
  <c r="K30" i="7"/>
  <c r="K29" i="7" s="1"/>
  <c r="J30" i="7"/>
  <c r="J29" i="7" s="1"/>
  <c r="H30" i="7"/>
  <c r="H29" i="7" s="1"/>
  <c r="E30" i="7"/>
  <c r="E29" i="7" s="1"/>
  <c r="G29" i="7"/>
  <c r="F29" i="7"/>
  <c r="D29" i="7"/>
  <c r="C29" i="7"/>
  <c r="P27" i="7"/>
  <c r="P26" i="7" s="1"/>
  <c r="K27" i="7"/>
  <c r="K26" i="7" s="1"/>
  <c r="J27" i="7"/>
  <c r="H27" i="7"/>
  <c r="G26" i="7"/>
  <c r="F26" i="7"/>
  <c r="D26" i="7"/>
  <c r="C26" i="7"/>
  <c r="P25" i="7"/>
  <c r="L25" i="7"/>
  <c r="K25" i="7"/>
  <c r="J25" i="7"/>
  <c r="E25" i="7"/>
  <c r="P24" i="7"/>
  <c r="L24" i="7"/>
  <c r="L23" i="7" s="1"/>
  <c r="K24" i="7"/>
  <c r="J24" i="7"/>
  <c r="J23" i="7" s="1"/>
  <c r="H24" i="7"/>
  <c r="H23" i="7" s="1"/>
  <c r="E24" i="7"/>
  <c r="G23" i="7"/>
  <c r="F23" i="7"/>
  <c r="D23" i="7"/>
  <c r="C23" i="7"/>
  <c r="P21" i="7"/>
  <c r="P20" i="7" s="1"/>
  <c r="K21" i="7"/>
  <c r="K20" i="7" s="1"/>
  <c r="J21" i="7"/>
  <c r="H21" i="7"/>
  <c r="H20" i="7" s="1"/>
  <c r="J20" i="7"/>
  <c r="G20" i="7"/>
  <c r="F20" i="7"/>
  <c r="D20" i="7"/>
  <c r="C20" i="7"/>
  <c r="P19" i="7"/>
  <c r="L19" i="7"/>
  <c r="K19" i="7"/>
  <c r="J19" i="7"/>
  <c r="E19" i="7"/>
  <c r="P18" i="7"/>
  <c r="K18" i="7"/>
  <c r="K17" i="7" s="1"/>
  <c r="J18" i="7"/>
  <c r="H18" i="7"/>
  <c r="L18" i="7" s="1"/>
  <c r="L17" i="7" s="1"/>
  <c r="G17" i="7"/>
  <c r="F17" i="7"/>
  <c r="D17" i="7"/>
  <c r="C17" i="7"/>
  <c r="P16" i="7"/>
  <c r="L16" i="7"/>
  <c r="K16" i="7"/>
  <c r="J16" i="7"/>
  <c r="E16" i="7"/>
  <c r="P15" i="7"/>
  <c r="H15" i="7"/>
  <c r="H14" i="7" s="1"/>
  <c r="G15" i="7"/>
  <c r="F15" i="7"/>
  <c r="J15" i="7" s="1"/>
  <c r="D14" i="7"/>
  <c r="C14" i="7"/>
  <c r="P13" i="7"/>
  <c r="L13" i="7"/>
  <c r="K13" i="7"/>
  <c r="J13" i="7"/>
  <c r="E13" i="7"/>
  <c r="P12" i="7"/>
  <c r="L12" i="7"/>
  <c r="L11" i="7" s="1"/>
  <c r="H12" i="7"/>
  <c r="H11" i="7" s="1"/>
  <c r="G12" i="7"/>
  <c r="F12" i="7"/>
  <c r="J12" i="7" s="1"/>
  <c r="P11" i="7"/>
  <c r="D11" i="7"/>
  <c r="C11" i="7"/>
  <c r="P10" i="7"/>
  <c r="L10" i="7"/>
  <c r="K10" i="7"/>
  <c r="J10" i="7"/>
  <c r="E10" i="7"/>
  <c r="P9" i="7"/>
  <c r="P8" i="7" s="1"/>
  <c r="H9" i="7"/>
  <c r="H8" i="7" s="1"/>
  <c r="G9" i="7"/>
  <c r="F9" i="7"/>
  <c r="J9" i="7" s="1"/>
  <c r="F8" i="7"/>
  <c r="D8" i="7"/>
  <c r="C8" i="7"/>
  <c r="P7" i="7"/>
  <c r="L7" i="7"/>
  <c r="K7" i="7"/>
  <c r="F7" i="7"/>
  <c r="E7" i="7" s="1"/>
  <c r="H6" i="7"/>
  <c r="L6" i="7" s="1"/>
  <c r="G6" i="7"/>
  <c r="K6" i="7" s="1"/>
  <c r="F6" i="7"/>
  <c r="J6" i="7" s="1"/>
  <c r="M6" i="7" s="1"/>
  <c r="N6" i="7" s="1"/>
  <c r="D6" i="7"/>
  <c r="P6" i="7" s="1"/>
  <c r="P5" i="7" s="1"/>
  <c r="H5" i="7"/>
  <c r="G5" i="7"/>
  <c r="C5" i="7"/>
  <c r="H90" i="5"/>
  <c r="G90" i="5"/>
  <c r="D90" i="5"/>
  <c r="C90" i="5"/>
  <c r="P88" i="5"/>
  <c r="H88" i="5"/>
  <c r="F88" i="5"/>
  <c r="P87" i="5"/>
  <c r="H87" i="5"/>
  <c r="F87" i="5"/>
  <c r="G85" i="5"/>
  <c r="G84" i="5" s="1"/>
  <c r="D85" i="5"/>
  <c r="D84" i="5" s="1"/>
  <c r="C85" i="5"/>
  <c r="C84" i="5" s="1"/>
  <c r="P83" i="5"/>
  <c r="H83" i="5"/>
  <c r="G83" i="5"/>
  <c r="F83" i="5"/>
  <c r="P82" i="5"/>
  <c r="P80" i="5" s="1"/>
  <c r="P79" i="5" s="1"/>
  <c r="H82" i="5"/>
  <c r="F82" i="5"/>
  <c r="D80" i="5"/>
  <c r="D79" i="5" s="1"/>
  <c r="C80" i="5"/>
  <c r="C79" i="5" s="1"/>
  <c r="P78" i="5"/>
  <c r="P75" i="5" s="1"/>
  <c r="P74" i="5" s="1"/>
  <c r="H78" i="5"/>
  <c r="H75" i="5" s="1"/>
  <c r="H74" i="5" s="1"/>
  <c r="G78" i="5"/>
  <c r="G75" i="5" s="1"/>
  <c r="F78" i="5"/>
  <c r="C75" i="5"/>
  <c r="C74" i="5" s="1"/>
  <c r="D74" i="5"/>
  <c r="P73" i="5"/>
  <c r="E73" i="5"/>
  <c r="H72" i="5"/>
  <c r="E72" i="5" s="1"/>
  <c r="D72" i="5"/>
  <c r="P72" i="5" s="1"/>
  <c r="P71" i="5"/>
  <c r="L71" i="5"/>
  <c r="K71" i="5"/>
  <c r="J71" i="5"/>
  <c r="E71" i="5"/>
  <c r="G70" i="5"/>
  <c r="K70" i="5" s="1"/>
  <c r="F70" i="5"/>
  <c r="J70" i="5" s="1"/>
  <c r="C70" i="5"/>
  <c r="C69" i="5" s="1"/>
  <c r="D69" i="5"/>
  <c r="E68" i="5"/>
  <c r="D68" i="5"/>
  <c r="P68" i="5" s="1"/>
  <c r="C68" i="5"/>
  <c r="P67" i="5"/>
  <c r="H67" i="5"/>
  <c r="E67" i="5" s="1"/>
  <c r="P66" i="5"/>
  <c r="L66" i="5"/>
  <c r="K66" i="5"/>
  <c r="J66" i="5"/>
  <c r="E66" i="5"/>
  <c r="G65" i="5"/>
  <c r="G64" i="5" s="1"/>
  <c r="F65" i="5"/>
  <c r="F64" i="5" s="1"/>
  <c r="P64" i="5"/>
  <c r="D64" i="5"/>
  <c r="C64" i="5"/>
  <c r="P63" i="5"/>
  <c r="H63" i="5"/>
  <c r="F63" i="5"/>
  <c r="H62" i="5"/>
  <c r="F62" i="5"/>
  <c r="E62" i="5" s="1"/>
  <c r="D62" i="5"/>
  <c r="P62" i="5" s="1"/>
  <c r="C62" i="5"/>
  <c r="P61" i="5"/>
  <c r="P59" i="5" s="1"/>
  <c r="L61" i="5"/>
  <c r="K61" i="5"/>
  <c r="J61" i="5"/>
  <c r="E61" i="5"/>
  <c r="G60" i="5"/>
  <c r="G59" i="5" s="1"/>
  <c r="D59" i="5"/>
  <c r="C59" i="5"/>
  <c r="P58" i="5"/>
  <c r="F58" i="5"/>
  <c r="E58" i="5" s="1"/>
  <c r="P57" i="5"/>
  <c r="H57" i="5"/>
  <c r="H55" i="5" s="1"/>
  <c r="H54" i="5" s="1"/>
  <c r="F57" i="5"/>
  <c r="G55" i="5"/>
  <c r="D55" i="5"/>
  <c r="D54" i="5" s="1"/>
  <c r="C55" i="5"/>
  <c r="C54" i="5" s="1"/>
  <c r="P53" i="5"/>
  <c r="H53" i="5"/>
  <c r="F53" i="5"/>
  <c r="P52" i="5"/>
  <c r="H52" i="5"/>
  <c r="F52" i="5"/>
  <c r="G50" i="5"/>
  <c r="D50" i="5"/>
  <c r="D49" i="5" s="1"/>
  <c r="C50" i="5"/>
  <c r="C49" i="5" s="1"/>
  <c r="P48" i="5"/>
  <c r="H48" i="5"/>
  <c r="F48" i="5"/>
  <c r="P47" i="5"/>
  <c r="H47" i="5"/>
  <c r="F47" i="5"/>
  <c r="G45" i="5"/>
  <c r="D45" i="5"/>
  <c r="D44" i="5" s="1"/>
  <c r="C45" i="5"/>
  <c r="C44" i="5" s="1"/>
  <c r="P43" i="5"/>
  <c r="L43" i="5"/>
  <c r="K43" i="5"/>
  <c r="J43" i="5"/>
  <c r="E43" i="5"/>
  <c r="P42" i="5"/>
  <c r="K42" i="5"/>
  <c r="J42" i="5"/>
  <c r="J41" i="5" s="1"/>
  <c r="H42" i="5"/>
  <c r="L42" i="5" s="1"/>
  <c r="L41" i="5" s="1"/>
  <c r="G41" i="5"/>
  <c r="F41" i="5"/>
  <c r="D41" i="5"/>
  <c r="C41" i="5"/>
  <c r="P39" i="5"/>
  <c r="P38" i="5" s="1"/>
  <c r="K39" i="5"/>
  <c r="K38" i="5" s="1"/>
  <c r="J39" i="5"/>
  <c r="H39" i="5"/>
  <c r="H38" i="5" s="1"/>
  <c r="G38" i="5"/>
  <c r="F38" i="5"/>
  <c r="D38" i="5"/>
  <c r="C38" i="5"/>
  <c r="P36" i="5"/>
  <c r="P35" i="5" s="1"/>
  <c r="K36" i="5"/>
  <c r="K35" i="5" s="1"/>
  <c r="J36" i="5"/>
  <c r="H36" i="5"/>
  <c r="H35" i="5" s="1"/>
  <c r="G35" i="5"/>
  <c r="F35" i="5"/>
  <c r="D35" i="5"/>
  <c r="C35" i="5"/>
  <c r="P34" i="5"/>
  <c r="L34" i="5"/>
  <c r="K34" i="5"/>
  <c r="J34" i="5"/>
  <c r="E34" i="5"/>
  <c r="P33" i="5"/>
  <c r="K33" i="5"/>
  <c r="J33" i="5"/>
  <c r="H33" i="5"/>
  <c r="L33" i="5" s="1"/>
  <c r="G32" i="5"/>
  <c r="F32" i="5"/>
  <c r="D32" i="5"/>
  <c r="C32" i="5"/>
  <c r="P31" i="5"/>
  <c r="P30" i="5"/>
  <c r="K30" i="5"/>
  <c r="K29" i="5" s="1"/>
  <c r="J30" i="5"/>
  <c r="J29" i="5" s="1"/>
  <c r="H30" i="5"/>
  <c r="H29" i="5" s="1"/>
  <c r="G29" i="5"/>
  <c r="F29" i="5"/>
  <c r="D29" i="5"/>
  <c r="C29" i="5"/>
  <c r="P27" i="5"/>
  <c r="P26" i="5" s="1"/>
  <c r="K27" i="5"/>
  <c r="K26" i="5" s="1"/>
  <c r="J27" i="5"/>
  <c r="J26" i="5" s="1"/>
  <c r="H27" i="5"/>
  <c r="G26" i="5"/>
  <c r="F26" i="5"/>
  <c r="D26" i="5"/>
  <c r="C26" i="5"/>
  <c r="P25" i="5"/>
  <c r="L25" i="5"/>
  <c r="K25" i="5"/>
  <c r="J25" i="5"/>
  <c r="E25" i="5"/>
  <c r="P24" i="5"/>
  <c r="K24" i="5"/>
  <c r="J24" i="5"/>
  <c r="H24" i="5"/>
  <c r="K23" i="5"/>
  <c r="G23" i="5"/>
  <c r="F23" i="5"/>
  <c r="D23" i="5"/>
  <c r="C23" i="5"/>
  <c r="P21" i="5"/>
  <c r="P20" i="5" s="1"/>
  <c r="K21" i="5"/>
  <c r="K20" i="5" s="1"/>
  <c r="J21" i="5"/>
  <c r="H21" i="5"/>
  <c r="L21" i="5" s="1"/>
  <c r="L20" i="5" s="1"/>
  <c r="G20" i="5"/>
  <c r="F20" i="5"/>
  <c r="D20" i="5"/>
  <c r="C20" i="5"/>
  <c r="P19" i="5"/>
  <c r="L19" i="5"/>
  <c r="K19" i="5"/>
  <c r="J19" i="5"/>
  <c r="E19" i="5"/>
  <c r="P18" i="5"/>
  <c r="K18" i="5"/>
  <c r="K17" i="5" s="1"/>
  <c r="J18" i="5"/>
  <c r="J17" i="5" s="1"/>
  <c r="H18" i="5"/>
  <c r="L18" i="5" s="1"/>
  <c r="G17" i="5"/>
  <c r="F17" i="5"/>
  <c r="D17" i="5"/>
  <c r="C17" i="5"/>
  <c r="P16" i="5"/>
  <c r="L16" i="5"/>
  <c r="K16" i="5"/>
  <c r="J16" i="5"/>
  <c r="E16" i="5"/>
  <c r="P15" i="5"/>
  <c r="L15" i="5"/>
  <c r="H15" i="5"/>
  <c r="H14" i="5" s="1"/>
  <c r="G15" i="5"/>
  <c r="F15" i="5"/>
  <c r="F14" i="5" s="1"/>
  <c r="D14" i="5"/>
  <c r="C14" i="5"/>
  <c r="P13" i="5"/>
  <c r="L13" i="5"/>
  <c r="K13" i="5"/>
  <c r="J13" i="5"/>
  <c r="E13" i="5"/>
  <c r="P12" i="5"/>
  <c r="H12" i="5"/>
  <c r="L12" i="5" s="1"/>
  <c r="G12" i="5"/>
  <c r="K12" i="5" s="1"/>
  <c r="F12" i="5"/>
  <c r="J12" i="5" s="1"/>
  <c r="G11" i="5"/>
  <c r="D11" i="5"/>
  <c r="C11" i="5"/>
  <c r="P10" i="5"/>
  <c r="L10" i="5"/>
  <c r="K10" i="5"/>
  <c r="J10" i="5"/>
  <c r="E10" i="5"/>
  <c r="P9" i="5"/>
  <c r="H9" i="5"/>
  <c r="L9" i="5" s="1"/>
  <c r="G9" i="5"/>
  <c r="F9" i="5"/>
  <c r="J9" i="5" s="1"/>
  <c r="D8" i="5"/>
  <c r="C8" i="5"/>
  <c r="P7" i="5"/>
  <c r="L7" i="5"/>
  <c r="K7" i="5"/>
  <c r="F7" i="5"/>
  <c r="F90" i="5" s="1"/>
  <c r="H6" i="5"/>
  <c r="H5" i="5" s="1"/>
  <c r="G6" i="5"/>
  <c r="K6" i="5" s="1"/>
  <c r="F6" i="5"/>
  <c r="D6" i="5"/>
  <c r="P6" i="5" s="1"/>
  <c r="C5" i="5"/>
  <c r="L85" i="7" l="1"/>
  <c r="L84" i="7" s="1"/>
  <c r="H84" i="7"/>
  <c r="K65" i="5"/>
  <c r="E90" i="7"/>
  <c r="E23" i="7"/>
  <c r="L41" i="7"/>
  <c r="P55" i="7"/>
  <c r="P54" i="7" s="1"/>
  <c r="F11" i="5"/>
  <c r="L17" i="5"/>
  <c r="L32" i="5"/>
  <c r="K90" i="7"/>
  <c r="E21" i="7"/>
  <c r="E20" i="7" s="1"/>
  <c r="L21" i="7"/>
  <c r="E57" i="7"/>
  <c r="J65" i="7"/>
  <c r="J64" i="7" s="1"/>
  <c r="G5" i="5"/>
  <c r="H11" i="5"/>
  <c r="P11" i="5"/>
  <c r="P14" i="5"/>
  <c r="F60" i="5"/>
  <c r="F59" i="5" s="1"/>
  <c r="E63" i="5"/>
  <c r="J65" i="5"/>
  <c r="F14" i="7"/>
  <c r="P14" i="7"/>
  <c r="M19" i="7"/>
  <c r="N19" i="7" s="1"/>
  <c r="F60" i="7"/>
  <c r="H60" i="7"/>
  <c r="H59" i="7" s="1"/>
  <c r="K69" i="7"/>
  <c r="K80" i="7"/>
  <c r="K79" i="7" s="1"/>
  <c r="G79" i="7"/>
  <c r="L60" i="7"/>
  <c r="L59" i="7" s="1"/>
  <c r="E60" i="7"/>
  <c r="E59" i="7" s="1"/>
  <c r="M13" i="7"/>
  <c r="N13" i="7" s="1"/>
  <c r="Q13" i="7" s="1"/>
  <c r="P41" i="7"/>
  <c r="K59" i="7"/>
  <c r="H70" i="7"/>
  <c r="E70" i="7" s="1"/>
  <c r="E69" i="7" s="1"/>
  <c r="K5" i="7"/>
  <c r="L9" i="7"/>
  <c r="L15" i="7"/>
  <c r="L14" i="7" s="1"/>
  <c r="M30" i="7"/>
  <c r="N30" i="7" s="1"/>
  <c r="N29" i="7" s="1"/>
  <c r="H41" i="7"/>
  <c r="M43" i="7"/>
  <c r="N43" i="7" s="1"/>
  <c r="Q43" i="7" s="1"/>
  <c r="F49" i="7"/>
  <c r="K50" i="7"/>
  <c r="K49" i="7" s="1"/>
  <c r="F69" i="7"/>
  <c r="P69" i="7"/>
  <c r="P90" i="7"/>
  <c r="Q19" i="7"/>
  <c r="H50" i="7"/>
  <c r="L5" i="7"/>
  <c r="M10" i="7"/>
  <c r="N10" i="7" s="1"/>
  <c r="Q10" i="7" s="1"/>
  <c r="F11" i="7"/>
  <c r="M16" i="7"/>
  <c r="N16" i="7" s="1"/>
  <c r="Q16" i="7" s="1"/>
  <c r="P17" i="7"/>
  <c r="K23" i="7"/>
  <c r="M25" i="7"/>
  <c r="N25" i="7" s="1"/>
  <c r="P32" i="7"/>
  <c r="E50" i="7"/>
  <c r="E49" i="7" s="1"/>
  <c r="M61" i="7"/>
  <c r="N61" i="7" s="1"/>
  <c r="Q61" i="7" s="1"/>
  <c r="H65" i="7"/>
  <c r="M66" i="7"/>
  <c r="N66" i="7" s="1"/>
  <c r="Q66" i="7" s="1"/>
  <c r="G69" i="7"/>
  <c r="K75" i="5"/>
  <c r="K74" i="5" s="1"/>
  <c r="G74" i="5"/>
  <c r="P70" i="5"/>
  <c r="P69" i="5" s="1"/>
  <c r="F80" i="5"/>
  <c r="F79" i="5" s="1"/>
  <c r="D5" i="5"/>
  <c r="F8" i="5"/>
  <c r="L11" i="5"/>
  <c r="M13" i="5"/>
  <c r="N13" i="5" s="1"/>
  <c r="Q13" i="5" s="1"/>
  <c r="M19" i="5"/>
  <c r="N19" i="5" s="1"/>
  <c r="Q19" i="5" s="1"/>
  <c r="E88" i="5"/>
  <c r="P23" i="5"/>
  <c r="F55" i="5"/>
  <c r="J55" i="5" s="1"/>
  <c r="P85" i="5"/>
  <c r="P84" i="5" s="1"/>
  <c r="H8" i="5"/>
  <c r="Q6" i="7"/>
  <c r="K12" i="7"/>
  <c r="K11" i="7" s="1"/>
  <c r="G11" i="7"/>
  <c r="J14" i="7"/>
  <c r="J49" i="7"/>
  <c r="K85" i="7"/>
  <c r="K84" i="7" s="1"/>
  <c r="G84" i="7"/>
  <c r="L90" i="7"/>
  <c r="C89" i="7"/>
  <c r="L8" i="7"/>
  <c r="K15" i="7"/>
  <c r="K14" i="7" s="1"/>
  <c r="G14" i="7"/>
  <c r="L20" i="7"/>
  <c r="M21" i="7"/>
  <c r="Q25" i="7"/>
  <c r="J26" i="7"/>
  <c r="L39" i="7"/>
  <c r="E39" i="7"/>
  <c r="E38" i="7" s="1"/>
  <c r="H38" i="7"/>
  <c r="L50" i="7"/>
  <c r="L49" i="7" s="1"/>
  <c r="H49" i="7"/>
  <c r="L70" i="7"/>
  <c r="L69" i="7" s="1"/>
  <c r="H69" i="7"/>
  <c r="J8" i="7"/>
  <c r="Q30" i="7"/>
  <c r="Q29" i="7" s="1"/>
  <c r="L33" i="7"/>
  <c r="E33" i="7"/>
  <c r="E32" i="7" s="1"/>
  <c r="H32" i="7"/>
  <c r="M36" i="7"/>
  <c r="J35" i="7"/>
  <c r="E82" i="7"/>
  <c r="H80" i="7"/>
  <c r="E80" i="7" s="1"/>
  <c r="E79" i="7" s="1"/>
  <c r="D5" i="7"/>
  <c r="D89" i="7" s="1"/>
  <c r="E6" i="7"/>
  <c r="E5" i="7" s="1"/>
  <c r="F90" i="7"/>
  <c r="J7" i="7"/>
  <c r="F5" i="7"/>
  <c r="K9" i="7"/>
  <c r="K8" i="7" s="1"/>
  <c r="G8" i="7"/>
  <c r="J11" i="7"/>
  <c r="M12" i="7"/>
  <c r="M18" i="7"/>
  <c r="J17" i="7"/>
  <c r="M29" i="7"/>
  <c r="E78" i="7"/>
  <c r="F75" i="7"/>
  <c r="E65" i="7"/>
  <c r="E64" i="7" s="1"/>
  <c r="K65" i="7"/>
  <c r="K75" i="7"/>
  <c r="K74" i="7" s="1"/>
  <c r="J80" i="7"/>
  <c r="F79" i="7"/>
  <c r="E9" i="7"/>
  <c r="E8" i="7" s="1"/>
  <c r="E12" i="7"/>
  <c r="E11" i="7" s="1"/>
  <c r="E15" i="7"/>
  <c r="E14" i="7" s="1"/>
  <c r="H17" i="7"/>
  <c r="E18" i="7"/>
  <c r="E17" i="7" s="1"/>
  <c r="P23" i="7"/>
  <c r="E53" i="7"/>
  <c r="L75" i="7"/>
  <c r="L74" i="7" s="1"/>
  <c r="H74" i="7"/>
  <c r="K45" i="7"/>
  <c r="K44" i="7" s="1"/>
  <c r="G44" i="7"/>
  <c r="K55" i="7"/>
  <c r="K54" i="7" s="1"/>
  <c r="G54" i="7"/>
  <c r="M24" i="7"/>
  <c r="L27" i="7"/>
  <c r="L26" i="7" s="1"/>
  <c r="E27" i="7"/>
  <c r="E26" i="7" s="1"/>
  <c r="H26" i="7"/>
  <c r="M42" i="7"/>
  <c r="J41" i="7"/>
  <c r="J45" i="7"/>
  <c r="E45" i="7"/>
  <c r="E44" i="7" s="1"/>
  <c r="F44" i="7"/>
  <c r="E52" i="7"/>
  <c r="J55" i="7"/>
  <c r="E55" i="7"/>
  <c r="E54" i="7" s="1"/>
  <c r="F54" i="7"/>
  <c r="G64" i="7"/>
  <c r="E83" i="7"/>
  <c r="E36" i="7"/>
  <c r="E35" i="7" s="1"/>
  <c r="E85" i="7"/>
  <c r="E84" i="7" s="1"/>
  <c r="P8" i="5"/>
  <c r="M25" i="5"/>
  <c r="N25" i="5" s="1"/>
  <c r="Q25" i="5" s="1"/>
  <c r="E39" i="5"/>
  <c r="E38" i="5" s="1"/>
  <c r="L39" i="5"/>
  <c r="L38" i="5" s="1"/>
  <c r="F45" i="5"/>
  <c r="J45" i="5" s="1"/>
  <c r="K64" i="5"/>
  <c r="K85" i="5"/>
  <c r="K84" i="5" s="1"/>
  <c r="P5" i="5"/>
  <c r="K5" i="5"/>
  <c r="J15" i="5"/>
  <c r="J14" i="5" s="1"/>
  <c r="H17" i="5"/>
  <c r="P29" i="5"/>
  <c r="E36" i="5"/>
  <c r="E35" i="5" s="1"/>
  <c r="L36" i="5"/>
  <c r="L35" i="5" s="1"/>
  <c r="K41" i="5"/>
  <c r="P45" i="5"/>
  <c r="P44" i="5" s="1"/>
  <c r="F50" i="5"/>
  <c r="J50" i="5" s="1"/>
  <c r="K60" i="5"/>
  <c r="K59" i="5" s="1"/>
  <c r="F69" i="5"/>
  <c r="H70" i="5"/>
  <c r="E87" i="5"/>
  <c r="L14" i="5"/>
  <c r="P17" i="5"/>
  <c r="P32" i="5"/>
  <c r="P41" i="5"/>
  <c r="P50" i="5"/>
  <c r="P49" i="5" s="1"/>
  <c r="H60" i="5"/>
  <c r="H59" i="5" s="1"/>
  <c r="H65" i="5"/>
  <c r="L65" i="5" s="1"/>
  <c r="L64" i="5" s="1"/>
  <c r="D89" i="5"/>
  <c r="L6" i="5"/>
  <c r="L5" i="5" s="1"/>
  <c r="J7" i="5"/>
  <c r="M7" i="5" s="1"/>
  <c r="M10" i="5"/>
  <c r="N10" i="5" s="1"/>
  <c r="Q10" i="5" s="1"/>
  <c r="M42" i="5"/>
  <c r="N42" i="5" s="1"/>
  <c r="Q42" i="5" s="1"/>
  <c r="H45" i="5"/>
  <c r="H50" i="5"/>
  <c r="E65" i="5"/>
  <c r="E64" i="5" s="1"/>
  <c r="G69" i="5"/>
  <c r="L75" i="5"/>
  <c r="L74" i="5" s="1"/>
  <c r="K11" i="5"/>
  <c r="M16" i="5"/>
  <c r="N16" i="5" s="1"/>
  <c r="Q16" i="5" s="1"/>
  <c r="H32" i="5"/>
  <c r="M61" i="5"/>
  <c r="N61" i="5" s="1"/>
  <c r="Q61" i="5" s="1"/>
  <c r="E7" i="5"/>
  <c r="E90" i="5" s="1"/>
  <c r="E9" i="5"/>
  <c r="E8" i="5" s="1"/>
  <c r="E18" i="5"/>
  <c r="E17" i="5" s="1"/>
  <c r="H20" i="5"/>
  <c r="E21" i="5"/>
  <c r="E20" i="5" s="1"/>
  <c r="E30" i="5"/>
  <c r="E29" i="5" s="1"/>
  <c r="L30" i="5"/>
  <c r="E33" i="5"/>
  <c r="E32" i="5" s="1"/>
  <c r="K32" i="5"/>
  <c r="H41" i="5"/>
  <c r="E42" i="5"/>
  <c r="E41" i="5" s="1"/>
  <c r="E48" i="5"/>
  <c r="E53" i="5"/>
  <c r="P55" i="5"/>
  <c r="P54" i="5" s="1"/>
  <c r="J20" i="5"/>
  <c r="M21" i="5"/>
  <c r="G54" i="5"/>
  <c r="K55" i="5"/>
  <c r="K54" i="5" s="1"/>
  <c r="E82" i="5"/>
  <c r="H80" i="5"/>
  <c r="C89" i="5"/>
  <c r="J6" i="5"/>
  <c r="E6" i="5"/>
  <c r="E5" i="5" s="1"/>
  <c r="P90" i="5"/>
  <c r="K15" i="5"/>
  <c r="G14" i="5"/>
  <c r="E15" i="5"/>
  <c r="E14" i="5" s="1"/>
  <c r="M18" i="5"/>
  <c r="L24" i="5"/>
  <c r="E24" i="5"/>
  <c r="E23" i="5" s="1"/>
  <c r="H23" i="5"/>
  <c r="L27" i="5"/>
  <c r="L26" i="5" s="1"/>
  <c r="E27" i="5"/>
  <c r="E26" i="5" s="1"/>
  <c r="J38" i="5"/>
  <c r="L55" i="5"/>
  <c r="L54" i="5" s="1"/>
  <c r="M65" i="5"/>
  <c r="J64" i="5"/>
  <c r="M66" i="5"/>
  <c r="N66" i="5" s="1"/>
  <c r="Q66" i="5" s="1"/>
  <c r="F75" i="5"/>
  <c r="E78" i="5"/>
  <c r="L8" i="5"/>
  <c r="J23" i="5"/>
  <c r="H26" i="5"/>
  <c r="J35" i="5"/>
  <c r="G44" i="5"/>
  <c r="K45" i="5"/>
  <c r="K44" i="5" s="1"/>
  <c r="L60" i="5"/>
  <c r="L59" i="5" s="1"/>
  <c r="K69" i="5"/>
  <c r="M71" i="5"/>
  <c r="N71" i="5" s="1"/>
  <c r="Q71" i="5" s="1"/>
  <c r="F5" i="5"/>
  <c r="L90" i="5"/>
  <c r="J8" i="5"/>
  <c r="K9" i="5"/>
  <c r="K8" i="5" s="1"/>
  <c r="G8" i="5"/>
  <c r="E12" i="5"/>
  <c r="E11" i="5" s="1"/>
  <c r="M12" i="5"/>
  <c r="J11" i="5"/>
  <c r="M33" i="5"/>
  <c r="J32" i="5"/>
  <c r="G49" i="5"/>
  <c r="K50" i="5"/>
  <c r="K49" i="5" s="1"/>
  <c r="L70" i="5"/>
  <c r="L69" i="5" s="1"/>
  <c r="E70" i="5"/>
  <c r="E69" i="5" s="1"/>
  <c r="H69" i="5"/>
  <c r="E83" i="5"/>
  <c r="G80" i="5"/>
  <c r="J69" i="5"/>
  <c r="K90" i="5"/>
  <c r="M43" i="5"/>
  <c r="N43" i="5" s="1"/>
  <c r="Q43" i="5" s="1"/>
  <c r="E47" i="5"/>
  <c r="E52" i="5"/>
  <c r="E57" i="5"/>
  <c r="F85" i="5"/>
  <c r="M34" i="5"/>
  <c r="N34" i="5" s="1"/>
  <c r="Q34" i="5" s="1"/>
  <c r="H85" i="5"/>
  <c r="E60" i="5" l="1"/>
  <c r="E59" i="5" s="1"/>
  <c r="M36" i="5"/>
  <c r="J60" i="5"/>
  <c r="M9" i="7"/>
  <c r="N9" i="7" s="1"/>
  <c r="F59" i="7"/>
  <c r="J60" i="7"/>
  <c r="M39" i="5"/>
  <c r="M38" i="5" s="1"/>
  <c r="P89" i="7"/>
  <c r="M85" i="7"/>
  <c r="G89" i="7"/>
  <c r="M15" i="7"/>
  <c r="N15" i="7" s="1"/>
  <c r="M70" i="7"/>
  <c r="M69" i="7" s="1"/>
  <c r="H64" i="7"/>
  <c r="L65" i="7"/>
  <c r="L64" i="7" s="1"/>
  <c r="H64" i="5"/>
  <c r="J80" i="5"/>
  <c r="J79" i="5" s="1"/>
  <c r="F54" i="5"/>
  <c r="F49" i="5"/>
  <c r="F44" i="5"/>
  <c r="E80" i="5"/>
  <c r="E79" i="5" s="1"/>
  <c r="P89" i="5"/>
  <c r="E55" i="5"/>
  <c r="E54" i="5" s="1"/>
  <c r="M41" i="7"/>
  <c r="N42" i="7"/>
  <c r="N24" i="7"/>
  <c r="M23" i="7"/>
  <c r="J79" i="7"/>
  <c r="N85" i="7"/>
  <c r="M84" i="7"/>
  <c r="L32" i="7"/>
  <c r="M33" i="7"/>
  <c r="E75" i="7"/>
  <c r="E74" i="7" s="1"/>
  <c r="E89" i="7" s="1"/>
  <c r="F74" i="7"/>
  <c r="J75" i="7"/>
  <c r="M17" i="7"/>
  <c r="N18" i="7"/>
  <c r="M35" i="7"/>
  <c r="N36" i="7"/>
  <c r="M50" i="7"/>
  <c r="J54" i="7"/>
  <c r="M55" i="7"/>
  <c r="M45" i="7"/>
  <c r="J44" i="7"/>
  <c r="M65" i="7"/>
  <c r="K64" i="7"/>
  <c r="K89" i="7" s="1"/>
  <c r="N12" i="7"/>
  <c r="M11" i="7"/>
  <c r="F89" i="7"/>
  <c r="L38" i="7"/>
  <c r="M39" i="7"/>
  <c r="N21" i="7"/>
  <c r="M20" i="7"/>
  <c r="J90" i="7"/>
  <c r="J5" i="7"/>
  <c r="M7" i="7"/>
  <c r="H79" i="7"/>
  <c r="H89" i="7" s="1"/>
  <c r="L80" i="7"/>
  <c r="L79" i="7" s="1"/>
  <c r="M27" i="7"/>
  <c r="M30" i="5"/>
  <c r="L29" i="5"/>
  <c r="H49" i="5"/>
  <c r="L50" i="5"/>
  <c r="L49" i="5" s="1"/>
  <c r="L45" i="5"/>
  <c r="L44" i="5" s="1"/>
  <c r="H44" i="5"/>
  <c r="E50" i="5"/>
  <c r="E49" i="5" s="1"/>
  <c r="J90" i="5"/>
  <c r="M9" i="5"/>
  <c r="M27" i="5"/>
  <c r="N27" i="5" s="1"/>
  <c r="E45" i="5"/>
  <c r="E44" i="5" s="1"/>
  <c r="M11" i="5"/>
  <c r="N12" i="5"/>
  <c r="M90" i="5"/>
  <c r="N7" i="5"/>
  <c r="J59" i="5"/>
  <c r="M60" i="5"/>
  <c r="G79" i="5"/>
  <c r="G89" i="5" s="1"/>
  <c r="K80" i="5"/>
  <c r="K79" i="5" s="1"/>
  <c r="N33" i="5"/>
  <c r="M32" i="5"/>
  <c r="N36" i="5"/>
  <c r="M35" i="5"/>
  <c r="N65" i="5"/>
  <c r="M64" i="5"/>
  <c r="M45" i="5"/>
  <c r="J44" i="5"/>
  <c r="L23" i="5"/>
  <c r="M24" i="5"/>
  <c r="K14" i="5"/>
  <c r="M15" i="5"/>
  <c r="N9" i="5"/>
  <c r="M8" i="5"/>
  <c r="M41" i="5"/>
  <c r="N41" i="5"/>
  <c r="J75" i="5"/>
  <c r="E75" i="5"/>
  <c r="E74" i="5" s="1"/>
  <c r="F74" i="5"/>
  <c r="N18" i="5"/>
  <c r="M17" i="5"/>
  <c r="J5" i="5"/>
  <c r="M6" i="5"/>
  <c r="H79" i="5"/>
  <c r="L80" i="5"/>
  <c r="L79" i="5" s="1"/>
  <c r="N21" i="5"/>
  <c r="M20" i="5"/>
  <c r="H84" i="5"/>
  <c r="L85" i="5"/>
  <c r="L84" i="5" s="1"/>
  <c r="E85" i="5"/>
  <c r="E84" i="5" s="1"/>
  <c r="J85" i="5"/>
  <c r="F84" i="5"/>
  <c r="M70" i="5"/>
  <c r="M55" i="5"/>
  <c r="J54" i="5"/>
  <c r="J49" i="5"/>
  <c r="Q41" i="5"/>
  <c r="M8" i="7" l="1"/>
  <c r="N70" i="7"/>
  <c r="N39" i="5"/>
  <c r="J59" i="7"/>
  <c r="M60" i="7"/>
  <c r="M14" i="7"/>
  <c r="M26" i="5"/>
  <c r="M90" i="7"/>
  <c r="N7" i="7"/>
  <c r="M5" i="7"/>
  <c r="N14" i="7"/>
  <c r="Q15" i="7"/>
  <c r="Q14" i="7" s="1"/>
  <c r="N55" i="7"/>
  <c r="M54" i="7"/>
  <c r="N17" i="7"/>
  <c r="Q18" i="7"/>
  <c r="Q17" i="7" s="1"/>
  <c r="Q85" i="7"/>
  <c r="Q84" i="7" s="1"/>
  <c r="N84" i="7"/>
  <c r="N23" i="7"/>
  <c r="Q24" i="7"/>
  <c r="Q23" i="7" s="1"/>
  <c r="M26" i="7"/>
  <c r="N27" i="7"/>
  <c r="N65" i="7"/>
  <c r="M64" i="7"/>
  <c r="Q70" i="7"/>
  <c r="Q69" i="7" s="1"/>
  <c r="N69" i="7"/>
  <c r="N33" i="7"/>
  <c r="M32" i="7"/>
  <c r="Q42" i="7"/>
  <c r="Q41" i="7" s="1"/>
  <c r="N41" i="7"/>
  <c r="Q21" i="7"/>
  <c r="Q20" i="7" s="1"/>
  <c r="N20" i="7"/>
  <c r="M80" i="7"/>
  <c r="N8" i="7"/>
  <c r="Q9" i="7"/>
  <c r="Q8" i="7" s="1"/>
  <c r="M49" i="7"/>
  <c r="N50" i="7"/>
  <c r="M75" i="7"/>
  <c r="J74" i="7"/>
  <c r="L89" i="7"/>
  <c r="N39" i="7"/>
  <c r="M38" i="7"/>
  <c r="N11" i="7"/>
  <c r="Q12" i="7"/>
  <c r="Q11" i="7" s="1"/>
  <c r="N45" i="7"/>
  <c r="M44" i="7"/>
  <c r="Q36" i="7"/>
  <c r="Q35" i="7" s="1"/>
  <c r="N35" i="7"/>
  <c r="F89" i="5"/>
  <c r="M50" i="5"/>
  <c r="M49" i="5" s="1"/>
  <c r="E89" i="5"/>
  <c r="L89" i="5"/>
  <c r="K89" i="5"/>
  <c r="N30" i="5"/>
  <c r="M29" i="5"/>
  <c r="M69" i="5"/>
  <c r="N70" i="5"/>
  <c r="J74" i="5"/>
  <c r="M75" i="5"/>
  <c r="N15" i="5"/>
  <c r="M14" i="5"/>
  <c r="H89" i="5"/>
  <c r="N17" i="5"/>
  <c r="Q18" i="5"/>
  <c r="Q17" i="5" s="1"/>
  <c r="M44" i="5"/>
  <c r="N45" i="5"/>
  <c r="Q36" i="5"/>
  <c r="Q35" i="5" s="1"/>
  <c r="N35" i="5"/>
  <c r="M80" i="5"/>
  <c r="N50" i="5"/>
  <c r="M85" i="5"/>
  <c r="J84" i="5"/>
  <c r="N6" i="5"/>
  <c r="M5" i="5"/>
  <c r="Q9" i="5"/>
  <c r="Q8" i="5" s="1"/>
  <c r="N8" i="5"/>
  <c r="N24" i="5"/>
  <c r="M23" i="5"/>
  <c r="M59" i="5"/>
  <c r="N60" i="5"/>
  <c r="Q7" i="5"/>
  <c r="Q90" i="5" s="1"/>
  <c r="N90" i="5"/>
  <c r="N55" i="5"/>
  <c r="M54" i="5"/>
  <c r="N20" i="5"/>
  <c r="Q21" i="5"/>
  <c r="Q20" i="5" s="1"/>
  <c r="Q27" i="5"/>
  <c r="Q26" i="5" s="1"/>
  <c r="N26" i="5"/>
  <c r="N64" i="5"/>
  <c r="Q65" i="5"/>
  <c r="Q64" i="5" s="1"/>
  <c r="Q33" i="5"/>
  <c r="Q32" i="5" s="1"/>
  <c r="N32" i="5"/>
  <c r="N11" i="5"/>
  <c r="Q12" i="5"/>
  <c r="Q11" i="5" s="1"/>
  <c r="N38" i="5" l="1"/>
  <c r="Q39" i="5"/>
  <c r="Q38" i="5" s="1"/>
  <c r="J89" i="7"/>
  <c r="M59" i="7"/>
  <c r="N60" i="7"/>
  <c r="Q45" i="7"/>
  <c r="Q44" i="7" s="1"/>
  <c r="N44" i="7"/>
  <c r="Q55" i="7"/>
  <c r="Q54" i="7" s="1"/>
  <c r="N54" i="7"/>
  <c r="Q50" i="7"/>
  <c r="Q49" i="7" s="1"/>
  <c r="N49" i="7"/>
  <c r="Q33" i="7"/>
  <c r="Q32" i="7" s="1"/>
  <c r="N32" i="7"/>
  <c r="Q65" i="7"/>
  <c r="Q64" i="7" s="1"/>
  <c r="N64" i="7"/>
  <c r="Q39" i="7"/>
  <c r="Q38" i="7" s="1"/>
  <c r="N38" i="7"/>
  <c r="N80" i="7"/>
  <c r="M79" i="7"/>
  <c r="Q27" i="7"/>
  <c r="Q26" i="7" s="1"/>
  <c r="N26" i="7"/>
  <c r="M74" i="7"/>
  <c r="N75" i="7"/>
  <c r="N90" i="7"/>
  <c r="Q7" i="7"/>
  <c r="N5" i="7"/>
  <c r="J89" i="5"/>
  <c r="Q30" i="5"/>
  <c r="Q29" i="5" s="1"/>
  <c r="N29" i="5"/>
  <c r="N23" i="5"/>
  <c r="Q24" i="5"/>
  <c r="Q23" i="5" s="1"/>
  <c r="Q6" i="5"/>
  <c r="Q5" i="5" s="1"/>
  <c r="N5" i="5"/>
  <c r="N49" i="5"/>
  <c r="Q50" i="5"/>
  <c r="Q49" i="5" s="1"/>
  <c r="N44" i="5"/>
  <c r="Q45" i="5"/>
  <c r="Q44" i="5" s="1"/>
  <c r="Q60" i="5"/>
  <c r="Q59" i="5" s="1"/>
  <c r="N59" i="5"/>
  <c r="N80" i="5"/>
  <c r="M79" i="5"/>
  <c r="Q70" i="5"/>
  <c r="Q69" i="5" s="1"/>
  <c r="N69" i="5"/>
  <c r="N54" i="5"/>
  <c r="Q55" i="5"/>
  <c r="Q54" i="5" s="1"/>
  <c r="N85" i="5"/>
  <c r="M84" i="5"/>
  <c r="N14" i="5"/>
  <c r="Q15" i="5"/>
  <c r="Q14" i="5" s="1"/>
  <c r="M74" i="5"/>
  <c r="N75" i="5"/>
  <c r="M89" i="7" l="1"/>
  <c r="Q60" i="7"/>
  <c r="Q59" i="7" s="1"/>
  <c r="N59" i="7"/>
  <c r="Q75" i="7"/>
  <c r="Q74" i="7" s="1"/>
  <c r="N74" i="7"/>
  <c r="Q90" i="7"/>
  <c r="Q5" i="7"/>
  <c r="N89" i="7"/>
  <c r="N79" i="7"/>
  <c r="Q80" i="7"/>
  <c r="Q79" i="7" s="1"/>
  <c r="M89" i="5"/>
  <c r="Q75" i="5"/>
  <c r="Q74" i="5" s="1"/>
  <c r="N74" i="5"/>
  <c r="Q80" i="5"/>
  <c r="Q79" i="5" s="1"/>
  <c r="N79" i="5"/>
  <c r="N84" i="5"/>
  <c r="Q85" i="5"/>
  <c r="Q84" i="5" s="1"/>
  <c r="Q89" i="5" l="1"/>
  <c r="N89" i="5"/>
  <c r="Q89" i="7"/>
  <c r="F9" i="3" l="1"/>
  <c r="G9" i="3"/>
  <c r="H9" i="3"/>
  <c r="F6" i="3"/>
  <c r="D6" i="3" l="1"/>
  <c r="P6" i="3" s="1"/>
  <c r="F7" i="3" l="1"/>
  <c r="E7" i="3" l="1"/>
  <c r="F48" i="3"/>
  <c r="F53" i="3"/>
  <c r="F52" i="3"/>
  <c r="F57" i="3"/>
  <c r="F58" i="3"/>
  <c r="F62" i="3"/>
  <c r="F63" i="3"/>
  <c r="F78" i="3"/>
  <c r="F82" i="3"/>
  <c r="F88" i="3"/>
  <c r="F47" i="3"/>
  <c r="G60" i="3"/>
  <c r="H60" i="3"/>
  <c r="G65" i="3"/>
  <c r="H65" i="3"/>
  <c r="F65" i="3"/>
  <c r="H70" i="3"/>
  <c r="G70" i="3"/>
  <c r="F70" i="3"/>
  <c r="H83" i="3"/>
  <c r="G83" i="3"/>
  <c r="H78" i="3"/>
  <c r="G78" i="3"/>
  <c r="F83" i="3"/>
  <c r="F87" i="3"/>
  <c r="P71" i="3"/>
  <c r="L71" i="3"/>
  <c r="K71" i="3"/>
  <c r="J71" i="3"/>
  <c r="E71" i="3"/>
  <c r="D90" i="3"/>
  <c r="C90" i="3"/>
  <c r="D85" i="3"/>
  <c r="D84" i="3" s="1"/>
  <c r="C85" i="3"/>
  <c r="C84" i="3" s="1"/>
  <c r="D80" i="3"/>
  <c r="D79" i="3" s="1"/>
  <c r="C80" i="3"/>
  <c r="C79" i="3" s="1"/>
  <c r="C75" i="3"/>
  <c r="C74" i="3" s="1"/>
  <c r="D74" i="3"/>
  <c r="D72" i="3"/>
  <c r="C70" i="3"/>
  <c r="C69" i="3" s="1"/>
  <c r="D69" i="3"/>
  <c r="D68" i="3"/>
  <c r="C68" i="3"/>
  <c r="D64" i="3"/>
  <c r="C64" i="3"/>
  <c r="D62" i="3"/>
  <c r="C62" i="3"/>
  <c r="D59" i="3"/>
  <c r="C59" i="3"/>
  <c r="D55" i="3"/>
  <c r="D54" i="3" s="1"/>
  <c r="C55" i="3"/>
  <c r="C54" i="3" s="1"/>
  <c r="D50" i="3"/>
  <c r="D49" i="3" s="1"/>
  <c r="C50" i="3"/>
  <c r="C49" i="3" s="1"/>
  <c r="D45" i="3"/>
  <c r="D44" i="3" s="1"/>
  <c r="C45" i="3"/>
  <c r="C44" i="3" s="1"/>
  <c r="D41" i="3"/>
  <c r="C41" i="3"/>
  <c r="D38" i="3"/>
  <c r="C38" i="3"/>
  <c r="D35" i="3"/>
  <c r="C35" i="3"/>
  <c r="D32" i="3"/>
  <c r="C32" i="3"/>
  <c r="D29" i="3"/>
  <c r="C29" i="3"/>
  <c r="D26" i="3"/>
  <c r="C26" i="3"/>
  <c r="D23" i="3"/>
  <c r="C23" i="3"/>
  <c r="D20" i="3"/>
  <c r="C20" i="3"/>
  <c r="D17" i="3"/>
  <c r="C17" i="3"/>
  <c r="D14" i="3"/>
  <c r="C14" i="3"/>
  <c r="D11" i="3"/>
  <c r="C11" i="3"/>
  <c r="D8" i="3"/>
  <c r="C8" i="3"/>
  <c r="D5" i="3"/>
  <c r="C5" i="3"/>
  <c r="F60" i="3" l="1"/>
  <c r="F59" i="3" s="1"/>
  <c r="F85" i="3"/>
  <c r="C89" i="3"/>
  <c r="D89" i="3"/>
  <c r="M71" i="3"/>
  <c r="N71" i="3" s="1"/>
  <c r="Q71" i="3" s="1"/>
  <c r="E70" i="3" l="1"/>
  <c r="E60" i="3"/>
  <c r="P68" i="3" l="1"/>
  <c r="E65" i="3"/>
  <c r="J65" i="3"/>
  <c r="G59" i="3"/>
  <c r="E13" i="3" l="1"/>
  <c r="H23" i="3" l="1"/>
  <c r="G23" i="3"/>
  <c r="F23" i="3"/>
  <c r="H20" i="3"/>
  <c r="G20" i="3"/>
  <c r="F20" i="3"/>
  <c r="F41" i="3" l="1"/>
  <c r="G41" i="3"/>
  <c r="H41" i="3"/>
  <c r="H75" i="3"/>
  <c r="H74" i="3" s="1"/>
  <c r="G75" i="3"/>
  <c r="G74" i="3" s="1"/>
  <c r="F75" i="3"/>
  <c r="F74" i="3" s="1"/>
  <c r="E78" i="3"/>
  <c r="G11" i="3"/>
  <c r="H11" i="3"/>
  <c r="F11" i="3"/>
  <c r="G64" i="3"/>
  <c r="H64" i="3"/>
  <c r="F64" i="3"/>
  <c r="E68" i="3"/>
  <c r="E67" i="3"/>
  <c r="E9" i="3"/>
  <c r="E10" i="3"/>
  <c r="G8" i="3"/>
  <c r="H8" i="3"/>
  <c r="F8" i="3"/>
  <c r="H69" i="3"/>
  <c r="G69" i="3"/>
  <c r="F69" i="3"/>
  <c r="E72" i="3"/>
  <c r="E73" i="3"/>
  <c r="G26" i="3"/>
  <c r="H26" i="3"/>
  <c r="F26" i="3"/>
  <c r="E8" i="3" l="1"/>
  <c r="E75" i="3"/>
  <c r="E36" i="3"/>
  <c r="G35" i="3"/>
  <c r="H35" i="3"/>
  <c r="F35" i="3"/>
  <c r="H38" i="3"/>
  <c r="G38" i="3"/>
  <c r="F38" i="3"/>
  <c r="H59" i="3"/>
  <c r="E63" i="3"/>
  <c r="E62" i="3"/>
  <c r="E88" i="3"/>
  <c r="E87" i="3"/>
  <c r="H85" i="3"/>
  <c r="H84" i="3" s="1"/>
  <c r="G85" i="3"/>
  <c r="F84" i="3"/>
  <c r="H5" i="3"/>
  <c r="G5" i="3"/>
  <c r="F5" i="3"/>
  <c r="G84" i="3" l="1"/>
  <c r="E85" i="3"/>
  <c r="H32" i="3"/>
  <c r="G32" i="3"/>
  <c r="F32" i="3"/>
  <c r="E83" i="3"/>
  <c r="E82" i="3"/>
  <c r="H80" i="3"/>
  <c r="G80" i="3"/>
  <c r="F80" i="3"/>
  <c r="H14" i="3"/>
  <c r="G14" i="3"/>
  <c r="F14" i="3"/>
  <c r="H17" i="3"/>
  <c r="G17" i="3"/>
  <c r="F17" i="3"/>
  <c r="H29" i="3"/>
  <c r="G29" i="3"/>
  <c r="F29" i="3"/>
  <c r="E58" i="3"/>
  <c r="E57" i="3"/>
  <c r="H55" i="3"/>
  <c r="G55" i="3"/>
  <c r="F55" i="3"/>
  <c r="H54" i="3" l="1"/>
  <c r="G54" i="3"/>
  <c r="F54" i="3"/>
  <c r="E55" i="3"/>
  <c r="H79" i="3"/>
  <c r="G79" i="3"/>
  <c r="E80" i="3"/>
  <c r="F79" i="3"/>
  <c r="H50" i="3"/>
  <c r="H49" i="3" s="1"/>
  <c r="G50" i="3"/>
  <c r="G49" i="3" s="1"/>
  <c r="F50" i="3"/>
  <c r="E53" i="3"/>
  <c r="E52" i="3"/>
  <c r="E48" i="3"/>
  <c r="E47" i="3"/>
  <c r="H45" i="3"/>
  <c r="G45" i="3"/>
  <c r="F45" i="3"/>
  <c r="G44" i="3" l="1"/>
  <c r="H44" i="3"/>
  <c r="F49" i="3"/>
  <c r="E50" i="3"/>
  <c r="F44" i="3"/>
  <c r="E6" i="3" l="1"/>
  <c r="E5" i="3" l="1"/>
  <c r="H90" i="3"/>
  <c r="G90" i="3"/>
  <c r="P88" i="3"/>
  <c r="P87" i="3"/>
  <c r="L85" i="3"/>
  <c r="L84" i="3" s="1"/>
  <c r="K85" i="3"/>
  <c r="K84" i="3" s="1"/>
  <c r="P83" i="3"/>
  <c r="P82" i="3"/>
  <c r="L80" i="3"/>
  <c r="L79" i="3" s="1"/>
  <c r="K80" i="3"/>
  <c r="K79" i="3" s="1"/>
  <c r="J80" i="3"/>
  <c r="E79" i="3"/>
  <c r="P78" i="3"/>
  <c r="P75" i="3" s="1"/>
  <c r="P74" i="3" s="1"/>
  <c r="L75" i="3"/>
  <c r="L74" i="3" s="1"/>
  <c r="K75" i="3"/>
  <c r="K74" i="3" s="1"/>
  <c r="J75" i="3"/>
  <c r="E74" i="3"/>
  <c r="P73" i="3"/>
  <c r="P72" i="3"/>
  <c r="L70" i="3"/>
  <c r="K70" i="3"/>
  <c r="K69" i="3" s="1"/>
  <c r="J70" i="3"/>
  <c r="J69" i="3" s="1"/>
  <c r="E69" i="3"/>
  <c r="P67" i="3"/>
  <c r="P66" i="3"/>
  <c r="L66" i="3"/>
  <c r="K66" i="3"/>
  <c r="J66" i="3"/>
  <c r="E66" i="3"/>
  <c r="L65" i="3"/>
  <c r="K65" i="3"/>
  <c r="K64" i="3" s="1"/>
  <c r="J64" i="3"/>
  <c r="E64" i="3"/>
  <c r="P63" i="3"/>
  <c r="P62" i="3"/>
  <c r="P61" i="3"/>
  <c r="L61" i="3"/>
  <c r="K61" i="3"/>
  <c r="J61" i="3"/>
  <c r="E61" i="3"/>
  <c r="E59" i="3" s="1"/>
  <c r="L60" i="3"/>
  <c r="K60" i="3"/>
  <c r="K59" i="3" s="1"/>
  <c r="J60" i="3"/>
  <c r="P58" i="3"/>
  <c r="P57" i="3"/>
  <c r="L55" i="3"/>
  <c r="K55" i="3"/>
  <c r="K54" i="3" s="1"/>
  <c r="J55" i="3"/>
  <c r="J54" i="3" s="1"/>
  <c r="E54" i="3"/>
  <c r="P53" i="3"/>
  <c r="P52" i="3"/>
  <c r="L50" i="3"/>
  <c r="L49" i="3" s="1"/>
  <c r="K50" i="3"/>
  <c r="K49" i="3" s="1"/>
  <c r="J50" i="3"/>
  <c r="E49" i="3"/>
  <c r="P48" i="3"/>
  <c r="P47" i="3"/>
  <c r="L45" i="3"/>
  <c r="L44" i="3" s="1"/>
  <c r="K45" i="3"/>
  <c r="K44" i="3" s="1"/>
  <c r="J45" i="3"/>
  <c r="J44" i="3" s="1"/>
  <c r="E45" i="3"/>
  <c r="E44" i="3" s="1"/>
  <c r="P43" i="3"/>
  <c r="L43" i="3"/>
  <c r="K43" i="3"/>
  <c r="J43" i="3"/>
  <c r="E43" i="3"/>
  <c r="P42" i="3"/>
  <c r="L42" i="3"/>
  <c r="K42" i="3"/>
  <c r="J42" i="3"/>
  <c r="E42" i="3"/>
  <c r="P39" i="3"/>
  <c r="P38" i="3" s="1"/>
  <c r="L39" i="3"/>
  <c r="L38" i="3" s="1"/>
  <c r="K39" i="3"/>
  <c r="K38" i="3" s="1"/>
  <c r="J39" i="3"/>
  <c r="J38" i="3" s="1"/>
  <c r="E39" i="3"/>
  <c r="E38" i="3" s="1"/>
  <c r="P36" i="3"/>
  <c r="P35" i="3" s="1"/>
  <c r="L36" i="3"/>
  <c r="K36" i="3"/>
  <c r="K35" i="3" s="1"/>
  <c r="J36" i="3"/>
  <c r="J35" i="3" s="1"/>
  <c r="E35" i="3"/>
  <c r="P34" i="3"/>
  <c r="L34" i="3"/>
  <c r="K34" i="3"/>
  <c r="J34" i="3"/>
  <c r="E34" i="3"/>
  <c r="P33" i="3"/>
  <c r="L33" i="3"/>
  <c r="K33" i="3"/>
  <c r="J33" i="3"/>
  <c r="E33" i="3"/>
  <c r="P31" i="3"/>
  <c r="P30" i="3"/>
  <c r="L30" i="3"/>
  <c r="L29" i="3" s="1"/>
  <c r="K30" i="3"/>
  <c r="K29" i="3" s="1"/>
  <c r="J30" i="3"/>
  <c r="J29" i="3" s="1"/>
  <c r="E30" i="3"/>
  <c r="E29" i="3" s="1"/>
  <c r="P27" i="3"/>
  <c r="P26" i="3" s="1"/>
  <c r="L27" i="3"/>
  <c r="L26" i="3" s="1"/>
  <c r="K27" i="3"/>
  <c r="K26" i="3" s="1"/>
  <c r="J27" i="3"/>
  <c r="J26" i="3" s="1"/>
  <c r="E27" i="3"/>
  <c r="E26" i="3" s="1"/>
  <c r="P25" i="3"/>
  <c r="L25" i="3"/>
  <c r="K25" i="3"/>
  <c r="J25" i="3"/>
  <c r="E25" i="3"/>
  <c r="P24" i="3"/>
  <c r="L24" i="3"/>
  <c r="K24" i="3"/>
  <c r="J24" i="3"/>
  <c r="E24" i="3"/>
  <c r="P21" i="3"/>
  <c r="P20" i="3" s="1"/>
  <c r="L21" i="3"/>
  <c r="L20" i="3" s="1"/>
  <c r="K21" i="3"/>
  <c r="K20" i="3" s="1"/>
  <c r="J21" i="3"/>
  <c r="J20" i="3" s="1"/>
  <c r="E21" i="3"/>
  <c r="E20" i="3" s="1"/>
  <c r="P19" i="3"/>
  <c r="L19" i="3"/>
  <c r="K19" i="3"/>
  <c r="J19" i="3"/>
  <c r="E19" i="3"/>
  <c r="P18" i="3"/>
  <c r="L18" i="3"/>
  <c r="K18" i="3"/>
  <c r="J18" i="3"/>
  <c r="E18" i="3"/>
  <c r="P16" i="3"/>
  <c r="L16" i="3"/>
  <c r="K16" i="3"/>
  <c r="J16" i="3"/>
  <c r="E16" i="3"/>
  <c r="P15" i="3"/>
  <c r="L15" i="3"/>
  <c r="K15" i="3"/>
  <c r="J15" i="3"/>
  <c r="E15" i="3"/>
  <c r="P13" i="3"/>
  <c r="L13" i="3"/>
  <c r="K13" i="3"/>
  <c r="J13" i="3"/>
  <c r="P12" i="3"/>
  <c r="L12" i="3"/>
  <c r="K12" i="3"/>
  <c r="J12" i="3"/>
  <c r="E12" i="3"/>
  <c r="P10" i="3"/>
  <c r="L10" i="3"/>
  <c r="K10" i="3"/>
  <c r="J10" i="3"/>
  <c r="P9" i="3"/>
  <c r="L9" i="3"/>
  <c r="L8" i="3" s="1"/>
  <c r="K9" i="3"/>
  <c r="J9" i="3"/>
  <c r="P7" i="3"/>
  <c r="L7" i="3"/>
  <c r="K7" i="3"/>
  <c r="L6" i="3"/>
  <c r="K6" i="3"/>
  <c r="J6" i="3"/>
  <c r="L41" i="3" l="1"/>
  <c r="K5" i="3"/>
  <c r="E23" i="3"/>
  <c r="J59" i="3"/>
  <c r="P5" i="3"/>
  <c r="L32" i="3"/>
  <c r="P23" i="3"/>
  <c r="P55" i="3"/>
  <c r="P54" i="3" s="1"/>
  <c r="K23" i="3"/>
  <c r="J32" i="3"/>
  <c r="K11" i="3"/>
  <c r="K14" i="3"/>
  <c r="E41" i="3"/>
  <c r="K41" i="3"/>
  <c r="M21" i="3"/>
  <c r="N21" i="3" s="1"/>
  <c r="Q21" i="3" s="1"/>
  <c r="Q20" i="3" s="1"/>
  <c r="L5" i="3"/>
  <c r="M6" i="3"/>
  <c r="N6" i="3" s="1"/>
  <c r="M9" i="3"/>
  <c r="N9" i="3" s="1"/>
  <c r="M36" i="3"/>
  <c r="M35" i="3" s="1"/>
  <c r="L11" i="3"/>
  <c r="K32" i="3"/>
  <c r="E11" i="3"/>
  <c r="P11" i="3"/>
  <c r="M18" i="3"/>
  <c r="N18" i="3" s="1"/>
  <c r="E17" i="3"/>
  <c r="P29" i="3"/>
  <c r="P50" i="3"/>
  <c r="P49" i="3" s="1"/>
  <c r="M61" i="3"/>
  <c r="N61" i="3" s="1"/>
  <c r="Q61" i="3" s="1"/>
  <c r="P70" i="3"/>
  <c r="P69" i="3" s="1"/>
  <c r="M75" i="3"/>
  <c r="J74" i="3"/>
  <c r="M12" i="3"/>
  <c r="N12" i="3" s="1"/>
  <c r="J11" i="3"/>
  <c r="P14" i="3"/>
  <c r="M16" i="3"/>
  <c r="N16" i="3" s="1"/>
  <c r="Q16" i="3" s="1"/>
  <c r="M25" i="3"/>
  <c r="N25" i="3" s="1"/>
  <c r="Q25" i="3" s="1"/>
  <c r="J23" i="3"/>
  <c r="E32" i="3"/>
  <c r="M33" i="3"/>
  <c r="N33" i="3" s="1"/>
  <c r="Q33" i="3" s="1"/>
  <c r="M50" i="3"/>
  <c r="N50" i="3" s="1"/>
  <c r="J49" i="3"/>
  <c r="J14" i="3"/>
  <c r="M27" i="3"/>
  <c r="P32" i="3"/>
  <c r="M39" i="3"/>
  <c r="M38" i="3" s="1"/>
  <c r="K8" i="3"/>
  <c r="M10" i="3"/>
  <c r="N10" i="3" s="1"/>
  <c r="Q10" i="3" s="1"/>
  <c r="M13" i="3"/>
  <c r="N13" i="3" s="1"/>
  <c r="Q13" i="3" s="1"/>
  <c r="P17" i="3"/>
  <c r="L17" i="3"/>
  <c r="M24" i="3"/>
  <c r="N24" i="3" s="1"/>
  <c r="P45" i="3"/>
  <c r="P44" i="3" s="1"/>
  <c r="P59" i="3"/>
  <c r="M65" i="3"/>
  <c r="N65" i="3" s="1"/>
  <c r="M66" i="3"/>
  <c r="N66" i="3" s="1"/>
  <c r="Q66" i="3" s="1"/>
  <c r="P8" i="3"/>
  <c r="M15" i="3"/>
  <c r="N15" i="3" s="1"/>
  <c r="K17" i="3"/>
  <c r="M34" i="3"/>
  <c r="N34" i="3" s="1"/>
  <c r="Q34" i="3" s="1"/>
  <c r="M42" i="3"/>
  <c r="N42" i="3" s="1"/>
  <c r="Q42" i="3" s="1"/>
  <c r="P64" i="3"/>
  <c r="P80" i="3"/>
  <c r="P79" i="3" s="1"/>
  <c r="P85" i="3"/>
  <c r="P84" i="3" s="1"/>
  <c r="P41" i="3"/>
  <c r="P90" i="3"/>
  <c r="L14" i="3"/>
  <c r="J17" i="3"/>
  <c r="L35" i="3"/>
  <c r="M70" i="3"/>
  <c r="L69" i="3"/>
  <c r="H89" i="3"/>
  <c r="K90" i="3"/>
  <c r="M30" i="3"/>
  <c r="M45" i="3"/>
  <c r="L64" i="3"/>
  <c r="L23" i="3"/>
  <c r="G89" i="3"/>
  <c r="J8" i="3"/>
  <c r="E14" i="3"/>
  <c r="M55" i="3"/>
  <c r="L54" i="3"/>
  <c r="M60" i="3"/>
  <c r="L59" i="3"/>
  <c r="L90" i="3"/>
  <c r="M19" i="3"/>
  <c r="N19" i="3" s="1"/>
  <c r="Q19" i="3" s="1"/>
  <c r="J41" i="3"/>
  <c r="M43" i="3"/>
  <c r="N43" i="3" s="1"/>
  <c r="Q43" i="3" s="1"/>
  <c r="M80" i="3"/>
  <c r="J79" i="3"/>
  <c r="Q6" i="3" l="1"/>
  <c r="Q50" i="3"/>
  <c r="Q49" i="3" s="1"/>
  <c r="M64" i="3"/>
  <c r="Q41" i="3"/>
  <c r="N36" i="3"/>
  <c r="Q36" i="3" s="1"/>
  <c r="Q35" i="3" s="1"/>
  <c r="N32" i="3"/>
  <c r="N20" i="3"/>
  <c r="M20" i="3"/>
  <c r="K89" i="3"/>
  <c r="M14" i="3"/>
  <c r="M8" i="3"/>
  <c r="P89" i="3"/>
  <c r="M11" i="3"/>
  <c r="M32" i="3"/>
  <c r="N49" i="3"/>
  <c r="N39" i="3"/>
  <c r="Q39" i="3" s="1"/>
  <c r="Q38" i="3" s="1"/>
  <c r="M23" i="3"/>
  <c r="L89" i="3"/>
  <c r="N27" i="3"/>
  <c r="M26" i="3"/>
  <c r="M49" i="3"/>
  <c r="Q32" i="3"/>
  <c r="N75" i="3"/>
  <c r="M74" i="3"/>
  <c r="N64" i="3"/>
  <c r="Q65" i="3"/>
  <c r="Q64" i="3" s="1"/>
  <c r="M29" i="3"/>
  <c r="N30" i="3"/>
  <c r="N11" i="3"/>
  <c r="Q12" i="3"/>
  <c r="Q11" i="3" s="1"/>
  <c r="M79" i="3"/>
  <c r="N80" i="3"/>
  <c r="N55" i="3"/>
  <c r="M54" i="3"/>
  <c r="N45" i="3"/>
  <c r="M44" i="3"/>
  <c r="M17" i="3"/>
  <c r="Q18" i="3"/>
  <c r="Q17" i="3" s="1"/>
  <c r="N17" i="3"/>
  <c r="N60" i="3"/>
  <c r="M59" i="3"/>
  <c r="N14" i="3"/>
  <c r="Q15" i="3"/>
  <c r="Q14" i="3" s="1"/>
  <c r="M41" i="3"/>
  <c r="N41" i="3"/>
  <c r="N70" i="3"/>
  <c r="M69" i="3"/>
  <c r="Q24" i="3"/>
  <c r="Q23" i="3" s="1"/>
  <c r="N23" i="3"/>
  <c r="Q9" i="3"/>
  <c r="Q8" i="3" s="1"/>
  <c r="N8" i="3"/>
  <c r="N38" i="3" l="1"/>
  <c r="N35" i="3"/>
  <c r="N74" i="3"/>
  <c r="Q75" i="3"/>
  <c r="Q74" i="3" s="1"/>
  <c r="N26" i="3"/>
  <c r="Q27" i="3"/>
  <c r="Q26" i="3" s="1"/>
  <c r="N54" i="3"/>
  <c r="Q55" i="3"/>
  <c r="Q54" i="3" s="1"/>
  <c r="N69" i="3"/>
  <c r="Q70" i="3"/>
  <c r="Q69" i="3" s="1"/>
  <c r="Q80" i="3"/>
  <c r="Q79" i="3" s="1"/>
  <c r="N79" i="3"/>
  <c r="Q45" i="3"/>
  <c r="Q44" i="3" s="1"/>
  <c r="N44" i="3"/>
  <c r="N59" i="3"/>
  <c r="Q60" i="3"/>
  <c r="Q59" i="3" s="1"/>
  <c r="N29" i="3"/>
  <c r="Q30" i="3"/>
  <c r="Q29" i="3" s="1"/>
  <c r="E84" i="3" l="1"/>
  <c r="J85" i="3"/>
  <c r="M85" i="3" s="1"/>
  <c r="M84" i="3" l="1"/>
  <c r="N85" i="3"/>
  <c r="J84" i="3"/>
  <c r="Q85" i="3" l="1"/>
  <c r="Q84" i="3" s="1"/>
  <c r="N84" i="3"/>
  <c r="E90" i="3" l="1"/>
  <c r="E89" i="3"/>
  <c r="J7" i="3"/>
  <c r="J5" i="3" s="1"/>
  <c r="J89" i="3" s="1"/>
  <c r="F90" i="3"/>
  <c r="F89" i="3"/>
  <c r="J90" i="3" l="1"/>
  <c r="M7" i="3"/>
  <c r="N7" i="3" l="1"/>
  <c r="M5" i="3"/>
  <c r="M89" i="3" s="1"/>
  <c r="M90" i="3"/>
  <c r="N90" i="3" l="1"/>
  <c r="N5" i="3"/>
  <c r="Q7" i="3"/>
  <c r="N89" i="3" l="1"/>
  <c r="Q5" i="3"/>
  <c r="Q90" i="3"/>
  <c r="Q89" i="3" l="1"/>
</calcChain>
</file>

<file path=xl/sharedStrings.xml><?xml version="1.0" encoding="utf-8"?>
<sst xmlns="http://schemas.openxmlformats.org/spreadsheetml/2006/main" count="309" uniqueCount="47">
  <si>
    <t>№ п/п</t>
  </si>
  <si>
    <t>Нименование муниципального образования</t>
  </si>
  <si>
    <t>Всего детей, посещающих дошкольные образовательные организации (в т.ч. группы в МОСШ)</t>
  </si>
  <si>
    <t>Всего детей, посещающих дошкольные образовательные организации (в т.ч. группы в МОСШ), пользующихся компенсацией</t>
  </si>
  <si>
    <t>Средний размер родительской платы за присмотр и уход на одного ребёнка в месяц без учета льготной категории детей, руб.</t>
  </si>
  <si>
    <t>компенсация</t>
  </si>
  <si>
    <t>Итого сумма компенсаций в месяц, руб.</t>
  </si>
  <si>
    <t>Итого сумма компенсаций в год (тыс.руб.)</t>
  </si>
  <si>
    <t>Норматив расходов в год на 1-го ребенка, посещающего ДОО (для расчета расходов на администрирование), руб.</t>
  </si>
  <si>
    <t xml:space="preserve">Сумма расходов на администрирование в год (тыс. руб.) </t>
  </si>
  <si>
    <t>Итого сумма расходов на выплату компенсации в год, включая расходы на администрирование (тыс.руб.)</t>
  </si>
  <si>
    <t>первых</t>
  </si>
  <si>
    <t>вторых</t>
  </si>
  <si>
    <t>третьих и последующих детей</t>
  </si>
  <si>
    <t>г.Нефтеюганск</t>
  </si>
  <si>
    <t>муниципальные</t>
  </si>
  <si>
    <t>частные</t>
  </si>
  <si>
    <t>г.Сургут</t>
  </si>
  <si>
    <t>г.Ханты-Мансийск</t>
  </si>
  <si>
    <t>г.Нижневартовск</t>
  </si>
  <si>
    <t>г.Мегион</t>
  </si>
  <si>
    <t>г.Урай</t>
  </si>
  <si>
    <t>г.Когалым</t>
  </si>
  <si>
    <t>г.Радужный</t>
  </si>
  <si>
    <t>г.Лангепас</t>
  </si>
  <si>
    <t>г.Нягань</t>
  </si>
  <si>
    <t>г.Пыть-Ях</t>
  </si>
  <si>
    <t>г.Покачи</t>
  </si>
  <si>
    <t>г.Югорск</t>
  </si>
  <si>
    <t>Белоярский район</t>
  </si>
  <si>
    <t>городское население</t>
  </si>
  <si>
    <t>сельское население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</si>
  <si>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</si>
  <si>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</si>
  <si>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</si>
  <si>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</si>
  <si>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</si>
  <si>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Ханты-Мансийский р-н</t>
  </si>
  <si>
    <t>Нижневартовский р-н</t>
  </si>
  <si>
    <t>Нефтеюганский р-н</t>
  </si>
  <si>
    <t>Итого</t>
  </si>
  <si>
    <t xml:space="preserve">в том числе частные </t>
  </si>
  <si>
    <t xml:space="preserve">Численность организаций, реализующих программы дошкольного образования </t>
  </si>
  <si>
    <t>в том числе: численность детей (из гр.5)</t>
  </si>
  <si>
    <t xml:space="preserve">Расчет и распределени субвенций бюджетам муниципальных районов и городских округов на 2020 год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</t>
  </si>
  <si>
    <t xml:space="preserve">Расчет и распределени субвенций бюджетам муниципальных районов и городских округов на 2021 год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</t>
  </si>
  <si>
    <t xml:space="preserve">Расчет и распределени субвенций бюджетам муниципальных районов и городских округов на 2022 год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</si>
</sst>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#,##0.000"/>
    <numFmt numFmtId="166" formatCode="#,##0.00000"/>
    <numFmt numFmtId="167" formatCode="_-* #,##0.00_р_._-;\-* #,##0.00_р_._-;_-* &quot;-&quot;??_р_._-;_-@_-"/>
    <numFmt numFmtId="168" formatCode="_-* #,##0.00\ _р_._-;\-* #,##0.00\ _р_._-;_-* &quot;-&quot;??\ _р_.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family val="2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</font>
    <font>
      <u/>
      <sz val="10"/>
      <color indexed="12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0">
    <xf numFmtId="0" fontId="0" fillId="0" borderId="0"/>
    <xf numFmtId="0" fontId="7" fillId="0" borderId="0"/>
    <xf numFmtId="0" fontId="8" fillId="0" borderId="0"/>
    <xf numFmtId="0" fontId="10" fillId="0" borderId="0"/>
    <xf numFmtId="0" fontId="12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24" fillId="4" borderId="0" applyNumberFormat="0" applyBorder="0" applyAlignment="0" applyProtection="0"/>
    <xf numFmtId="0" fontId="16" fillId="21" borderId="3" applyNumberFormat="0" applyAlignment="0" applyProtection="0"/>
    <xf numFmtId="0" fontId="21" fillId="22" borderId="4" applyNumberFormat="0" applyAlignment="0" applyProtection="0"/>
    <xf numFmtId="0" fontId="25" fillId="0" borderId="0" applyNumberFormat="0" applyFill="0" applyBorder="0" applyAlignment="0" applyProtection="0"/>
    <xf numFmtId="0" fontId="28" fillId="5" borderId="0" applyNumberFormat="0" applyBorder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14" fillId="8" borderId="3" applyNumberFormat="0" applyAlignment="0" applyProtection="0"/>
    <xf numFmtId="0" fontId="26" fillId="0" borderId="8" applyNumberFormat="0" applyFill="0" applyAlignment="0" applyProtection="0"/>
    <xf numFmtId="0" fontId="23" fillId="23" borderId="0" applyNumberFormat="0" applyBorder="0" applyAlignment="0" applyProtection="0"/>
    <xf numFmtId="0" fontId="10" fillId="24" borderId="9" applyNumberFormat="0" applyFont="0" applyAlignment="0" applyProtection="0"/>
    <xf numFmtId="0" fontId="15" fillId="21" borderId="10" applyNumberFormat="0" applyAlignment="0" applyProtection="0"/>
    <xf numFmtId="0" fontId="22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4" fillId="8" borderId="3" applyNumberFormat="0" applyAlignment="0" applyProtection="0"/>
    <xf numFmtId="0" fontId="14" fillId="8" borderId="3" applyNumberFormat="0" applyAlignment="0" applyProtection="0"/>
    <xf numFmtId="0" fontId="15" fillId="21" borderId="10" applyNumberFormat="0" applyAlignment="0" applyProtection="0"/>
    <xf numFmtId="0" fontId="15" fillId="21" borderId="10" applyNumberFormat="0" applyAlignment="0" applyProtection="0"/>
    <xf numFmtId="0" fontId="16" fillId="21" borderId="3" applyNumberFormat="0" applyAlignment="0" applyProtection="0"/>
    <xf numFmtId="0" fontId="16" fillId="21" borderId="3" applyNumberFormat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19" fillId="0" borderId="7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22" borderId="4" applyNumberFormat="0" applyAlignment="0" applyProtection="0"/>
    <xf numFmtId="0" fontId="21" fillId="22" borderId="4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7" fillId="0" borderId="0"/>
    <xf numFmtId="0" fontId="29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" fillId="0" borderId="0"/>
    <xf numFmtId="0" fontId="10" fillId="0" borderId="0"/>
    <xf numFmtId="0" fontId="12" fillId="0" borderId="0"/>
    <xf numFmtId="0" fontId="12" fillId="0" borderId="0"/>
    <xf numFmtId="0" fontId="7" fillId="0" borderId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24" borderId="9" applyNumberFormat="0" applyFont="0" applyAlignment="0" applyProtection="0"/>
    <xf numFmtId="0" fontId="10" fillId="24" borderId="9" applyNumberFormat="0" applyFont="0" applyAlignment="0" applyProtection="0"/>
    <xf numFmtId="0" fontId="10" fillId="24" borderId="9" applyNumberFormat="0" applyFont="0" applyAlignment="0" applyProtection="0"/>
    <xf numFmtId="0" fontId="26" fillId="0" borderId="8" applyNumberFormat="0" applyFill="0" applyAlignment="0" applyProtection="0"/>
    <xf numFmtId="0" fontId="26" fillId="0" borderId="8" applyNumberFormat="0" applyFill="0" applyAlignment="0" applyProtection="0"/>
    <xf numFmtId="0" fontId="8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43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</cellStyleXfs>
  <cellXfs count="50">
    <xf numFmtId="0" fontId="0" fillId="0" borderId="0" xfId="0"/>
    <xf numFmtId="3" fontId="3" fillId="0" borderId="0" xfId="0" applyNumberFormat="1" applyFont="1" applyFill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 wrapText="1"/>
    </xf>
    <xf numFmtId="166" fontId="2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11" fillId="0" borderId="0" xfId="0" applyFont="1" applyFill="1"/>
    <xf numFmtId="3" fontId="5" fillId="0" borderId="0" xfId="0" applyNumberFormat="1" applyFont="1" applyFill="1"/>
    <xf numFmtId="0" fontId="11" fillId="2" borderId="0" xfId="0" applyFont="1" applyFill="1"/>
    <xf numFmtId="0" fontId="5" fillId="2" borderId="0" xfId="0" applyFont="1" applyFill="1"/>
    <xf numFmtId="164" fontId="6" fillId="0" borderId="0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" xfId="1" applyFont="1" applyFill="1" applyBorder="1" applyAlignment="1">
      <alignment vertical="center" wrapText="1"/>
    </xf>
    <xf numFmtId="3" fontId="31" fillId="0" borderId="1" xfId="2" applyNumberFormat="1" applyFont="1" applyFill="1" applyBorder="1" applyAlignment="1">
      <alignment horizontal="center" vertical="center" wrapText="1"/>
    </xf>
    <xf numFmtId="164" fontId="31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3" fontId="3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3" fontId="31" fillId="0" borderId="1" xfId="0" applyNumberFormat="1" applyFont="1" applyFill="1" applyBorder="1" applyAlignment="1">
      <alignment horizontal="center" vertical="center" wrapText="1"/>
    </xf>
    <xf numFmtId="164" fontId="31" fillId="0" borderId="1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1" xfId="119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31" fillId="0" borderId="1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vertical="center" wrapText="1"/>
    </xf>
    <xf numFmtId="3" fontId="33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/>
    </xf>
    <xf numFmtId="3" fontId="33" fillId="0" borderId="1" xfId="119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vertical="center" wrapText="1"/>
    </xf>
    <xf numFmtId="3" fontId="3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40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20% - Акцент1 2" xfId="11"/>
    <cellStyle name="20% - Акцент1 2 2" xfId="12"/>
    <cellStyle name="20% - Акцент2 2" xfId="13"/>
    <cellStyle name="20% - Акцент2 2 2" xfId="14"/>
    <cellStyle name="20% - Акцент3 2" xfId="15"/>
    <cellStyle name="20% - Акцент3 2 2" xfId="16"/>
    <cellStyle name="20% - Акцент4 2" xfId="17"/>
    <cellStyle name="20% - Акцент4 2 2" xfId="18"/>
    <cellStyle name="20% - Акцент5 2" xfId="19"/>
    <cellStyle name="20% - Акцент5 2 2" xfId="20"/>
    <cellStyle name="20% - Акцент6 2" xfId="21"/>
    <cellStyle name="20% - Акцент6 2 2" xfId="22"/>
    <cellStyle name="40% - Accent1" xfId="23"/>
    <cellStyle name="40% - Accent2" xfId="24"/>
    <cellStyle name="40% - Accent3" xfId="25"/>
    <cellStyle name="40% - Accent4" xfId="26"/>
    <cellStyle name="40% - Accent5" xfId="27"/>
    <cellStyle name="40% - Accent6" xfId="28"/>
    <cellStyle name="40% - Акцент1 2" xfId="29"/>
    <cellStyle name="40% - Акцент1 2 2" xfId="30"/>
    <cellStyle name="40% - Акцент2 2" xfId="31"/>
    <cellStyle name="40% - Акцент2 2 2" xfId="32"/>
    <cellStyle name="40% - Акцент3 2" xfId="33"/>
    <cellStyle name="40% - Акцент3 2 2" xfId="34"/>
    <cellStyle name="40% - Акцент4 2" xfId="35"/>
    <cellStyle name="40% - Акцент4 2 2" xfId="36"/>
    <cellStyle name="40% - Акцент5 2" xfId="37"/>
    <cellStyle name="40% - Акцент5 2 2" xfId="38"/>
    <cellStyle name="40% - Акцент6 2" xfId="39"/>
    <cellStyle name="40% - Акцент6 2 2" xfId="40"/>
    <cellStyle name="60% - Accent1" xfId="41"/>
    <cellStyle name="60% - Accent2" xfId="42"/>
    <cellStyle name="60% - Accent3" xfId="43"/>
    <cellStyle name="60% - Accent4" xfId="44"/>
    <cellStyle name="60% - Accent5" xfId="45"/>
    <cellStyle name="60% - Accent6" xfId="46"/>
    <cellStyle name="60% - Акцент1 2" xfId="47"/>
    <cellStyle name="60% - Акцент2 2" xfId="48"/>
    <cellStyle name="60% - Акцент3 2" xfId="49"/>
    <cellStyle name="60% - Акцент4 2" xfId="50"/>
    <cellStyle name="60% - Акцент5 2" xfId="51"/>
    <cellStyle name="60% - Акцент6 2" xfId="52"/>
    <cellStyle name="Accent1" xfId="53"/>
    <cellStyle name="Accent2" xfId="54"/>
    <cellStyle name="Accent3" xfId="55"/>
    <cellStyle name="Accent4" xfId="56"/>
    <cellStyle name="Accent5" xfId="57"/>
    <cellStyle name="Accent6" xfId="58"/>
    <cellStyle name="Bad" xfId="59"/>
    <cellStyle name="Calculation" xfId="60"/>
    <cellStyle name="Check Cell" xfId="61"/>
    <cellStyle name="Explanatory Text" xfId="62"/>
    <cellStyle name="Good" xfId="63"/>
    <cellStyle name="Heading 1" xfId="64"/>
    <cellStyle name="Heading 2" xfId="65"/>
    <cellStyle name="Heading 3" xfId="66"/>
    <cellStyle name="Heading 4" xfId="67"/>
    <cellStyle name="Input" xfId="68"/>
    <cellStyle name="Linked Cell" xfId="69"/>
    <cellStyle name="Neutral" xfId="70"/>
    <cellStyle name="Note" xfId="71"/>
    <cellStyle name="Output" xfId="72"/>
    <cellStyle name="Title" xfId="73"/>
    <cellStyle name="Total" xfId="74"/>
    <cellStyle name="Warning Text" xfId="75"/>
    <cellStyle name="Акцент1 2" xfId="77"/>
    <cellStyle name="Акцент1 3" xfId="76"/>
    <cellStyle name="Акцент2 2" xfId="79"/>
    <cellStyle name="Акцент2 3" xfId="78"/>
    <cellStyle name="Акцент3 2" xfId="81"/>
    <cellStyle name="Акцент3 3" xfId="80"/>
    <cellStyle name="Акцент4 2" xfId="83"/>
    <cellStyle name="Акцент4 3" xfId="82"/>
    <cellStyle name="Акцент5 2" xfId="85"/>
    <cellStyle name="Акцент5 3" xfId="84"/>
    <cellStyle name="Акцент6 2" xfId="87"/>
    <cellStyle name="Акцент6 3" xfId="86"/>
    <cellStyle name="Ввод  2" xfId="89"/>
    <cellStyle name="Ввод  3" xfId="88"/>
    <cellStyle name="Вывод 2" xfId="91"/>
    <cellStyle name="Вывод 3" xfId="90"/>
    <cellStyle name="Вычисление 2" xfId="93"/>
    <cellStyle name="Вычисление 3" xfId="92"/>
    <cellStyle name="Гиперссылка 2" xfId="94"/>
    <cellStyle name="Заголовок 1 2" xfId="96"/>
    <cellStyle name="Заголовок 1 3" xfId="95"/>
    <cellStyle name="Заголовок 2 2" xfId="98"/>
    <cellStyle name="Заголовок 2 3" xfId="97"/>
    <cellStyle name="Заголовок 3 2" xfId="100"/>
    <cellStyle name="Заголовок 3 3" xfId="99"/>
    <cellStyle name="Заголовок 4 2" xfId="102"/>
    <cellStyle name="Заголовок 4 3" xfId="101"/>
    <cellStyle name="Итог 2" xfId="104"/>
    <cellStyle name="Итог 3" xfId="103"/>
    <cellStyle name="Контрольная ячейка 2" xfId="106"/>
    <cellStyle name="Контрольная ячейка 3" xfId="105"/>
    <cellStyle name="Название 2" xfId="108"/>
    <cellStyle name="Название 3" xfId="107"/>
    <cellStyle name="Нейтральный 2" xfId="110"/>
    <cellStyle name="Нейтральный 3" xfId="109"/>
    <cellStyle name="Обычный" xfId="0" builtinId="0"/>
    <cellStyle name="Обычный 2" xfId="1"/>
    <cellStyle name="Обычный 2 2" xfId="3"/>
    <cellStyle name="Обычный 2 2 2" xfId="111"/>
    <cellStyle name="Обычный 2 3" xfId="112"/>
    <cellStyle name="Обычный 2 4" xfId="113"/>
    <cellStyle name="Обычный 3" xfId="114"/>
    <cellStyle name="Обычный 3 2" xfId="115"/>
    <cellStyle name="Обычный 3 3" xfId="116"/>
    <cellStyle name="Обычный 3 4" xfId="117"/>
    <cellStyle name="Обычный 4" xfId="118"/>
    <cellStyle name="Обычный 4 2" xfId="119"/>
    <cellStyle name="Обычный 5" xfId="120"/>
    <cellStyle name="Обычный 6" xfId="121"/>
    <cellStyle name="Обычный 7" xfId="4"/>
    <cellStyle name="Обычный_Проект бюджета 2010" xfId="2"/>
    <cellStyle name="Плохой 2" xfId="123"/>
    <cellStyle name="Плохой 3" xfId="122"/>
    <cellStyle name="Пояснение 2" xfId="125"/>
    <cellStyle name="Пояснение 3" xfId="124"/>
    <cellStyle name="Примечание 2" xfId="127"/>
    <cellStyle name="Примечание 2 2" xfId="128"/>
    <cellStyle name="Примечание 3" xfId="126"/>
    <cellStyle name="Связанная ячейка 2" xfId="130"/>
    <cellStyle name="Связанная ячейка 3" xfId="129"/>
    <cellStyle name="Стиль 1" xfId="131"/>
    <cellStyle name="Текст предупреждения 2" xfId="133"/>
    <cellStyle name="Текст предупреждения 3" xfId="132"/>
    <cellStyle name="Финансовый 2" xfId="134"/>
    <cellStyle name="Финансовый 2 2" xfId="135"/>
    <cellStyle name="Финансовый 3" xfId="136"/>
    <cellStyle name="Финансовый 4" xfId="137"/>
    <cellStyle name="Хороший 2" xfId="139"/>
    <cellStyle name="Хороший 3" xfId="138"/>
  </cellStyles>
  <dxfs count="0"/>
  <tableStyles count="0" defaultTableStyle="TableStyleMedium2" defaultPivotStyle="PivotStyleMedium9"/>
  <colors>
    <mruColors>
      <color rgb="FF66FF33"/>
      <color rgb="FFFFFFCC"/>
      <color rgb="FFFF99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97"/>
  <sheetViews>
    <sheetView topLeftCell="G1" zoomScale="90" zoomScaleNormal="90" zoomScaleSheetLayoutView="100" workbookViewId="0">
      <selection activeCell="Q89" sqref="Q89"/>
    </sheetView>
  </sheetViews>
  <sheetFormatPr defaultRowHeight="15.75" x14ac:dyDescent="0.25"/>
  <cols>
    <col min="1" max="1" width="4.85546875" style="10" customWidth="1"/>
    <col min="2" max="2" width="31.5703125" style="5" customWidth="1"/>
    <col min="3" max="3" width="23.7109375" style="1" customWidth="1"/>
    <col min="4" max="4" width="25.5703125" style="2" customWidth="1"/>
    <col min="5" max="5" width="27.140625" style="2" customWidth="1"/>
    <col min="6" max="6" width="17.7109375" style="3" customWidth="1"/>
    <col min="7" max="7" width="14.42578125" style="3" customWidth="1"/>
    <col min="8" max="8" width="23.140625" style="3" customWidth="1"/>
    <col min="9" max="9" width="26.5703125" style="3" customWidth="1"/>
    <col min="10" max="10" width="19.7109375" style="4" customWidth="1"/>
    <col min="11" max="11" width="18.28515625" style="4" customWidth="1"/>
    <col min="12" max="12" width="17.85546875" style="4" customWidth="1"/>
    <col min="13" max="13" width="21.42578125" style="4" customWidth="1"/>
    <col min="14" max="14" width="21.42578125" style="7" customWidth="1"/>
    <col min="15" max="15" width="23" style="15" customWidth="1"/>
    <col min="16" max="16" width="25.5703125" style="15" customWidth="1"/>
    <col min="17" max="17" width="24.5703125" style="15" customWidth="1"/>
    <col min="18" max="223" width="9.140625" style="15"/>
    <col min="224" max="224" width="7.7109375" style="15" customWidth="1"/>
    <col min="225" max="225" width="31.5703125" style="15" customWidth="1"/>
    <col min="226" max="226" width="24" style="15" customWidth="1"/>
    <col min="227" max="227" width="22.140625" style="15" customWidth="1"/>
    <col min="228" max="228" width="21.28515625" style="15" customWidth="1"/>
    <col min="229" max="229" width="20.7109375" style="15" customWidth="1"/>
    <col min="230" max="230" width="11.7109375" style="15" customWidth="1"/>
    <col min="231" max="231" width="12" style="15" customWidth="1"/>
    <col min="232" max="232" width="11.7109375" style="15" customWidth="1"/>
    <col min="233" max="233" width="25.28515625" style="15" customWidth="1"/>
    <col min="234" max="234" width="15.28515625" style="15" customWidth="1"/>
    <col min="235" max="235" width="14.5703125" style="15" customWidth="1"/>
    <col min="236" max="236" width="15.140625" style="15" customWidth="1"/>
    <col min="237" max="237" width="21.28515625" style="15" customWidth="1"/>
    <col min="238" max="238" width="18.7109375" style="15" customWidth="1"/>
    <col min="239" max="239" width="20.85546875" style="15" customWidth="1"/>
    <col min="240" max="240" width="20.5703125" style="15" customWidth="1"/>
    <col min="241" max="241" width="19.7109375" style="15" customWidth="1"/>
    <col min="242" max="242" width="18.28515625" style="15" customWidth="1"/>
    <col min="243" max="479" width="9.140625" style="15"/>
    <col min="480" max="480" width="7.7109375" style="15" customWidth="1"/>
    <col min="481" max="481" width="31.5703125" style="15" customWidth="1"/>
    <col min="482" max="482" width="24" style="15" customWidth="1"/>
    <col min="483" max="483" width="22.140625" style="15" customWidth="1"/>
    <col min="484" max="484" width="21.28515625" style="15" customWidth="1"/>
    <col min="485" max="485" width="20.7109375" style="15" customWidth="1"/>
    <col min="486" max="486" width="11.7109375" style="15" customWidth="1"/>
    <col min="487" max="487" width="12" style="15" customWidth="1"/>
    <col min="488" max="488" width="11.7109375" style="15" customWidth="1"/>
    <col min="489" max="489" width="25.28515625" style="15" customWidth="1"/>
    <col min="490" max="490" width="15.28515625" style="15" customWidth="1"/>
    <col min="491" max="491" width="14.5703125" style="15" customWidth="1"/>
    <col min="492" max="492" width="15.140625" style="15" customWidth="1"/>
    <col min="493" max="493" width="21.28515625" style="15" customWidth="1"/>
    <col min="494" max="494" width="18.7109375" style="15" customWidth="1"/>
    <col min="495" max="495" width="20.85546875" style="15" customWidth="1"/>
    <col min="496" max="496" width="20.5703125" style="15" customWidth="1"/>
    <col min="497" max="497" width="19.7109375" style="15" customWidth="1"/>
    <col min="498" max="498" width="18.28515625" style="15" customWidth="1"/>
    <col min="499" max="735" width="9.140625" style="15"/>
    <col min="736" max="736" width="7.7109375" style="15" customWidth="1"/>
    <col min="737" max="737" width="31.5703125" style="15" customWidth="1"/>
    <col min="738" max="738" width="24" style="15" customWidth="1"/>
    <col min="739" max="739" width="22.140625" style="15" customWidth="1"/>
    <col min="740" max="740" width="21.28515625" style="15" customWidth="1"/>
    <col min="741" max="741" width="20.7109375" style="15" customWidth="1"/>
    <col min="742" max="742" width="11.7109375" style="15" customWidth="1"/>
    <col min="743" max="743" width="12" style="15" customWidth="1"/>
    <col min="744" max="744" width="11.7109375" style="15" customWidth="1"/>
    <col min="745" max="745" width="25.28515625" style="15" customWidth="1"/>
    <col min="746" max="746" width="15.28515625" style="15" customWidth="1"/>
    <col min="747" max="747" width="14.5703125" style="15" customWidth="1"/>
    <col min="748" max="748" width="15.140625" style="15" customWidth="1"/>
    <col min="749" max="749" width="21.28515625" style="15" customWidth="1"/>
    <col min="750" max="750" width="18.7109375" style="15" customWidth="1"/>
    <col min="751" max="751" width="20.85546875" style="15" customWidth="1"/>
    <col min="752" max="752" width="20.5703125" style="15" customWidth="1"/>
    <col min="753" max="753" width="19.7109375" style="15" customWidth="1"/>
    <col min="754" max="754" width="18.28515625" style="15" customWidth="1"/>
    <col min="755" max="991" width="9.140625" style="15"/>
    <col min="992" max="992" width="7.7109375" style="15" customWidth="1"/>
    <col min="993" max="993" width="31.5703125" style="15" customWidth="1"/>
    <col min="994" max="994" width="24" style="15" customWidth="1"/>
    <col min="995" max="995" width="22.140625" style="15" customWidth="1"/>
    <col min="996" max="996" width="21.28515625" style="15" customWidth="1"/>
    <col min="997" max="997" width="20.7109375" style="15" customWidth="1"/>
    <col min="998" max="998" width="11.7109375" style="15" customWidth="1"/>
    <col min="999" max="999" width="12" style="15" customWidth="1"/>
    <col min="1000" max="1000" width="11.7109375" style="15" customWidth="1"/>
    <col min="1001" max="1001" width="25.28515625" style="15" customWidth="1"/>
    <col min="1002" max="1002" width="15.28515625" style="15" customWidth="1"/>
    <col min="1003" max="1003" width="14.5703125" style="15" customWidth="1"/>
    <col min="1004" max="1004" width="15.140625" style="15" customWidth="1"/>
    <col min="1005" max="1005" width="21.28515625" style="15" customWidth="1"/>
    <col min="1006" max="1006" width="18.7109375" style="15" customWidth="1"/>
    <col min="1007" max="1007" width="20.85546875" style="15" customWidth="1"/>
    <col min="1008" max="1008" width="20.5703125" style="15" customWidth="1"/>
    <col min="1009" max="1009" width="19.7109375" style="15" customWidth="1"/>
    <col min="1010" max="1010" width="18.28515625" style="15" customWidth="1"/>
    <col min="1011" max="1247" width="9.140625" style="15"/>
    <col min="1248" max="1248" width="7.7109375" style="15" customWidth="1"/>
    <col min="1249" max="1249" width="31.5703125" style="15" customWidth="1"/>
    <col min="1250" max="1250" width="24" style="15" customWidth="1"/>
    <col min="1251" max="1251" width="22.140625" style="15" customWidth="1"/>
    <col min="1252" max="1252" width="21.28515625" style="15" customWidth="1"/>
    <col min="1253" max="1253" width="20.7109375" style="15" customWidth="1"/>
    <col min="1254" max="1254" width="11.7109375" style="15" customWidth="1"/>
    <col min="1255" max="1255" width="12" style="15" customWidth="1"/>
    <col min="1256" max="1256" width="11.7109375" style="15" customWidth="1"/>
    <col min="1257" max="1257" width="25.28515625" style="15" customWidth="1"/>
    <col min="1258" max="1258" width="15.28515625" style="15" customWidth="1"/>
    <col min="1259" max="1259" width="14.5703125" style="15" customWidth="1"/>
    <col min="1260" max="1260" width="15.140625" style="15" customWidth="1"/>
    <col min="1261" max="1261" width="21.28515625" style="15" customWidth="1"/>
    <col min="1262" max="1262" width="18.7109375" style="15" customWidth="1"/>
    <col min="1263" max="1263" width="20.85546875" style="15" customWidth="1"/>
    <col min="1264" max="1264" width="20.5703125" style="15" customWidth="1"/>
    <col min="1265" max="1265" width="19.7109375" style="15" customWidth="1"/>
    <col min="1266" max="1266" width="18.28515625" style="15" customWidth="1"/>
    <col min="1267" max="1503" width="9.140625" style="15"/>
    <col min="1504" max="1504" width="7.7109375" style="15" customWidth="1"/>
    <col min="1505" max="1505" width="31.5703125" style="15" customWidth="1"/>
    <col min="1506" max="1506" width="24" style="15" customWidth="1"/>
    <col min="1507" max="1507" width="22.140625" style="15" customWidth="1"/>
    <col min="1508" max="1508" width="21.28515625" style="15" customWidth="1"/>
    <col min="1509" max="1509" width="20.7109375" style="15" customWidth="1"/>
    <col min="1510" max="1510" width="11.7109375" style="15" customWidth="1"/>
    <col min="1511" max="1511" width="12" style="15" customWidth="1"/>
    <col min="1512" max="1512" width="11.7109375" style="15" customWidth="1"/>
    <col min="1513" max="1513" width="25.28515625" style="15" customWidth="1"/>
    <col min="1514" max="1514" width="15.28515625" style="15" customWidth="1"/>
    <col min="1515" max="1515" width="14.5703125" style="15" customWidth="1"/>
    <col min="1516" max="1516" width="15.140625" style="15" customWidth="1"/>
    <col min="1517" max="1517" width="21.28515625" style="15" customWidth="1"/>
    <col min="1518" max="1518" width="18.7109375" style="15" customWidth="1"/>
    <col min="1519" max="1519" width="20.85546875" style="15" customWidth="1"/>
    <col min="1520" max="1520" width="20.5703125" style="15" customWidth="1"/>
    <col min="1521" max="1521" width="19.7109375" style="15" customWidth="1"/>
    <col min="1522" max="1522" width="18.28515625" style="15" customWidth="1"/>
    <col min="1523" max="1759" width="9.140625" style="15"/>
    <col min="1760" max="1760" width="7.7109375" style="15" customWidth="1"/>
    <col min="1761" max="1761" width="31.5703125" style="15" customWidth="1"/>
    <col min="1762" max="1762" width="24" style="15" customWidth="1"/>
    <col min="1763" max="1763" width="22.140625" style="15" customWidth="1"/>
    <col min="1764" max="1764" width="21.28515625" style="15" customWidth="1"/>
    <col min="1765" max="1765" width="20.7109375" style="15" customWidth="1"/>
    <col min="1766" max="1766" width="11.7109375" style="15" customWidth="1"/>
    <col min="1767" max="1767" width="12" style="15" customWidth="1"/>
    <col min="1768" max="1768" width="11.7109375" style="15" customWidth="1"/>
    <col min="1769" max="1769" width="25.28515625" style="15" customWidth="1"/>
    <col min="1770" max="1770" width="15.28515625" style="15" customWidth="1"/>
    <col min="1771" max="1771" width="14.5703125" style="15" customWidth="1"/>
    <col min="1772" max="1772" width="15.140625" style="15" customWidth="1"/>
    <col min="1773" max="1773" width="21.28515625" style="15" customWidth="1"/>
    <col min="1774" max="1774" width="18.7109375" style="15" customWidth="1"/>
    <col min="1775" max="1775" width="20.85546875" style="15" customWidth="1"/>
    <col min="1776" max="1776" width="20.5703125" style="15" customWidth="1"/>
    <col min="1777" max="1777" width="19.7109375" style="15" customWidth="1"/>
    <col min="1778" max="1778" width="18.28515625" style="15" customWidth="1"/>
    <col min="1779" max="2015" width="9.140625" style="15"/>
    <col min="2016" max="2016" width="7.7109375" style="15" customWidth="1"/>
    <col min="2017" max="2017" width="31.5703125" style="15" customWidth="1"/>
    <col min="2018" max="2018" width="24" style="15" customWidth="1"/>
    <col min="2019" max="2019" width="22.140625" style="15" customWidth="1"/>
    <col min="2020" max="2020" width="21.28515625" style="15" customWidth="1"/>
    <col min="2021" max="2021" width="20.7109375" style="15" customWidth="1"/>
    <col min="2022" max="2022" width="11.7109375" style="15" customWidth="1"/>
    <col min="2023" max="2023" width="12" style="15" customWidth="1"/>
    <col min="2024" max="2024" width="11.7109375" style="15" customWidth="1"/>
    <col min="2025" max="2025" width="25.28515625" style="15" customWidth="1"/>
    <col min="2026" max="2026" width="15.28515625" style="15" customWidth="1"/>
    <col min="2027" max="2027" width="14.5703125" style="15" customWidth="1"/>
    <col min="2028" max="2028" width="15.140625" style="15" customWidth="1"/>
    <col min="2029" max="2029" width="21.28515625" style="15" customWidth="1"/>
    <col min="2030" max="2030" width="18.7109375" style="15" customWidth="1"/>
    <col min="2031" max="2031" width="20.85546875" style="15" customWidth="1"/>
    <col min="2032" max="2032" width="20.5703125" style="15" customWidth="1"/>
    <col min="2033" max="2033" width="19.7109375" style="15" customWidth="1"/>
    <col min="2034" max="2034" width="18.28515625" style="15" customWidth="1"/>
    <col min="2035" max="2271" width="9.140625" style="15"/>
    <col min="2272" max="2272" width="7.7109375" style="15" customWidth="1"/>
    <col min="2273" max="2273" width="31.5703125" style="15" customWidth="1"/>
    <col min="2274" max="2274" width="24" style="15" customWidth="1"/>
    <col min="2275" max="2275" width="22.140625" style="15" customWidth="1"/>
    <col min="2276" max="2276" width="21.28515625" style="15" customWidth="1"/>
    <col min="2277" max="2277" width="20.7109375" style="15" customWidth="1"/>
    <col min="2278" max="2278" width="11.7109375" style="15" customWidth="1"/>
    <col min="2279" max="2279" width="12" style="15" customWidth="1"/>
    <col min="2280" max="2280" width="11.7109375" style="15" customWidth="1"/>
    <col min="2281" max="2281" width="25.28515625" style="15" customWidth="1"/>
    <col min="2282" max="2282" width="15.28515625" style="15" customWidth="1"/>
    <col min="2283" max="2283" width="14.5703125" style="15" customWidth="1"/>
    <col min="2284" max="2284" width="15.140625" style="15" customWidth="1"/>
    <col min="2285" max="2285" width="21.28515625" style="15" customWidth="1"/>
    <col min="2286" max="2286" width="18.7109375" style="15" customWidth="1"/>
    <col min="2287" max="2287" width="20.85546875" style="15" customWidth="1"/>
    <col min="2288" max="2288" width="20.5703125" style="15" customWidth="1"/>
    <col min="2289" max="2289" width="19.7109375" style="15" customWidth="1"/>
    <col min="2290" max="2290" width="18.28515625" style="15" customWidth="1"/>
    <col min="2291" max="2527" width="9.140625" style="15"/>
    <col min="2528" max="2528" width="7.7109375" style="15" customWidth="1"/>
    <col min="2529" max="2529" width="31.5703125" style="15" customWidth="1"/>
    <col min="2530" max="2530" width="24" style="15" customWidth="1"/>
    <col min="2531" max="2531" width="22.140625" style="15" customWidth="1"/>
    <col min="2532" max="2532" width="21.28515625" style="15" customWidth="1"/>
    <col min="2533" max="2533" width="20.7109375" style="15" customWidth="1"/>
    <col min="2534" max="2534" width="11.7109375" style="15" customWidth="1"/>
    <col min="2535" max="2535" width="12" style="15" customWidth="1"/>
    <col min="2536" max="2536" width="11.7109375" style="15" customWidth="1"/>
    <col min="2537" max="2537" width="25.28515625" style="15" customWidth="1"/>
    <col min="2538" max="2538" width="15.28515625" style="15" customWidth="1"/>
    <col min="2539" max="2539" width="14.5703125" style="15" customWidth="1"/>
    <col min="2540" max="2540" width="15.140625" style="15" customWidth="1"/>
    <col min="2541" max="2541" width="21.28515625" style="15" customWidth="1"/>
    <col min="2542" max="2542" width="18.7109375" style="15" customWidth="1"/>
    <col min="2543" max="2543" width="20.85546875" style="15" customWidth="1"/>
    <col min="2544" max="2544" width="20.5703125" style="15" customWidth="1"/>
    <col min="2545" max="2545" width="19.7109375" style="15" customWidth="1"/>
    <col min="2546" max="2546" width="18.28515625" style="15" customWidth="1"/>
    <col min="2547" max="2783" width="9.140625" style="15"/>
    <col min="2784" max="2784" width="7.7109375" style="15" customWidth="1"/>
    <col min="2785" max="2785" width="31.5703125" style="15" customWidth="1"/>
    <col min="2786" max="2786" width="24" style="15" customWidth="1"/>
    <col min="2787" max="2787" width="22.140625" style="15" customWidth="1"/>
    <col min="2788" max="2788" width="21.28515625" style="15" customWidth="1"/>
    <col min="2789" max="2789" width="20.7109375" style="15" customWidth="1"/>
    <col min="2790" max="2790" width="11.7109375" style="15" customWidth="1"/>
    <col min="2791" max="2791" width="12" style="15" customWidth="1"/>
    <col min="2792" max="2792" width="11.7109375" style="15" customWidth="1"/>
    <col min="2793" max="2793" width="25.28515625" style="15" customWidth="1"/>
    <col min="2794" max="2794" width="15.28515625" style="15" customWidth="1"/>
    <col min="2795" max="2795" width="14.5703125" style="15" customWidth="1"/>
    <col min="2796" max="2796" width="15.140625" style="15" customWidth="1"/>
    <col min="2797" max="2797" width="21.28515625" style="15" customWidth="1"/>
    <col min="2798" max="2798" width="18.7109375" style="15" customWidth="1"/>
    <col min="2799" max="2799" width="20.85546875" style="15" customWidth="1"/>
    <col min="2800" max="2800" width="20.5703125" style="15" customWidth="1"/>
    <col min="2801" max="2801" width="19.7109375" style="15" customWidth="1"/>
    <col min="2802" max="2802" width="18.28515625" style="15" customWidth="1"/>
    <col min="2803" max="3039" width="9.140625" style="15"/>
    <col min="3040" max="3040" width="7.7109375" style="15" customWidth="1"/>
    <col min="3041" max="3041" width="31.5703125" style="15" customWidth="1"/>
    <col min="3042" max="3042" width="24" style="15" customWidth="1"/>
    <col min="3043" max="3043" width="22.140625" style="15" customWidth="1"/>
    <col min="3044" max="3044" width="21.28515625" style="15" customWidth="1"/>
    <col min="3045" max="3045" width="20.7109375" style="15" customWidth="1"/>
    <col min="3046" max="3046" width="11.7109375" style="15" customWidth="1"/>
    <col min="3047" max="3047" width="12" style="15" customWidth="1"/>
    <col min="3048" max="3048" width="11.7109375" style="15" customWidth="1"/>
    <col min="3049" max="3049" width="25.28515625" style="15" customWidth="1"/>
    <col min="3050" max="3050" width="15.28515625" style="15" customWidth="1"/>
    <col min="3051" max="3051" width="14.5703125" style="15" customWidth="1"/>
    <col min="3052" max="3052" width="15.140625" style="15" customWidth="1"/>
    <col min="3053" max="3053" width="21.28515625" style="15" customWidth="1"/>
    <col min="3054" max="3054" width="18.7109375" style="15" customWidth="1"/>
    <col min="3055" max="3055" width="20.85546875" style="15" customWidth="1"/>
    <col min="3056" max="3056" width="20.5703125" style="15" customWidth="1"/>
    <col min="3057" max="3057" width="19.7109375" style="15" customWidth="1"/>
    <col min="3058" max="3058" width="18.28515625" style="15" customWidth="1"/>
    <col min="3059" max="3295" width="9.140625" style="15"/>
    <col min="3296" max="3296" width="7.7109375" style="15" customWidth="1"/>
    <col min="3297" max="3297" width="31.5703125" style="15" customWidth="1"/>
    <col min="3298" max="3298" width="24" style="15" customWidth="1"/>
    <col min="3299" max="3299" width="22.140625" style="15" customWidth="1"/>
    <col min="3300" max="3300" width="21.28515625" style="15" customWidth="1"/>
    <col min="3301" max="3301" width="20.7109375" style="15" customWidth="1"/>
    <col min="3302" max="3302" width="11.7109375" style="15" customWidth="1"/>
    <col min="3303" max="3303" width="12" style="15" customWidth="1"/>
    <col min="3304" max="3304" width="11.7109375" style="15" customWidth="1"/>
    <col min="3305" max="3305" width="25.28515625" style="15" customWidth="1"/>
    <col min="3306" max="3306" width="15.28515625" style="15" customWidth="1"/>
    <col min="3307" max="3307" width="14.5703125" style="15" customWidth="1"/>
    <col min="3308" max="3308" width="15.140625" style="15" customWidth="1"/>
    <col min="3309" max="3309" width="21.28515625" style="15" customWidth="1"/>
    <col min="3310" max="3310" width="18.7109375" style="15" customWidth="1"/>
    <col min="3311" max="3311" width="20.85546875" style="15" customWidth="1"/>
    <col min="3312" max="3312" width="20.5703125" style="15" customWidth="1"/>
    <col min="3313" max="3313" width="19.7109375" style="15" customWidth="1"/>
    <col min="3314" max="3314" width="18.28515625" style="15" customWidth="1"/>
    <col min="3315" max="3551" width="9.140625" style="15"/>
    <col min="3552" max="3552" width="7.7109375" style="15" customWidth="1"/>
    <col min="3553" max="3553" width="31.5703125" style="15" customWidth="1"/>
    <col min="3554" max="3554" width="24" style="15" customWidth="1"/>
    <col min="3555" max="3555" width="22.140625" style="15" customWidth="1"/>
    <col min="3556" max="3556" width="21.28515625" style="15" customWidth="1"/>
    <col min="3557" max="3557" width="20.7109375" style="15" customWidth="1"/>
    <col min="3558" max="3558" width="11.7109375" style="15" customWidth="1"/>
    <col min="3559" max="3559" width="12" style="15" customWidth="1"/>
    <col min="3560" max="3560" width="11.7109375" style="15" customWidth="1"/>
    <col min="3561" max="3561" width="25.28515625" style="15" customWidth="1"/>
    <col min="3562" max="3562" width="15.28515625" style="15" customWidth="1"/>
    <col min="3563" max="3563" width="14.5703125" style="15" customWidth="1"/>
    <col min="3564" max="3564" width="15.140625" style="15" customWidth="1"/>
    <col min="3565" max="3565" width="21.28515625" style="15" customWidth="1"/>
    <col min="3566" max="3566" width="18.7109375" style="15" customWidth="1"/>
    <col min="3567" max="3567" width="20.85546875" style="15" customWidth="1"/>
    <col min="3568" max="3568" width="20.5703125" style="15" customWidth="1"/>
    <col min="3569" max="3569" width="19.7109375" style="15" customWidth="1"/>
    <col min="3570" max="3570" width="18.28515625" style="15" customWidth="1"/>
    <col min="3571" max="3807" width="9.140625" style="15"/>
    <col min="3808" max="3808" width="7.7109375" style="15" customWidth="1"/>
    <col min="3809" max="3809" width="31.5703125" style="15" customWidth="1"/>
    <col min="3810" max="3810" width="24" style="15" customWidth="1"/>
    <col min="3811" max="3811" width="22.140625" style="15" customWidth="1"/>
    <col min="3812" max="3812" width="21.28515625" style="15" customWidth="1"/>
    <col min="3813" max="3813" width="20.7109375" style="15" customWidth="1"/>
    <col min="3814" max="3814" width="11.7109375" style="15" customWidth="1"/>
    <col min="3815" max="3815" width="12" style="15" customWidth="1"/>
    <col min="3816" max="3816" width="11.7109375" style="15" customWidth="1"/>
    <col min="3817" max="3817" width="25.28515625" style="15" customWidth="1"/>
    <col min="3818" max="3818" width="15.28515625" style="15" customWidth="1"/>
    <col min="3819" max="3819" width="14.5703125" style="15" customWidth="1"/>
    <col min="3820" max="3820" width="15.140625" style="15" customWidth="1"/>
    <col min="3821" max="3821" width="21.28515625" style="15" customWidth="1"/>
    <col min="3822" max="3822" width="18.7109375" style="15" customWidth="1"/>
    <col min="3823" max="3823" width="20.85546875" style="15" customWidth="1"/>
    <col min="3824" max="3824" width="20.5703125" style="15" customWidth="1"/>
    <col min="3825" max="3825" width="19.7109375" style="15" customWidth="1"/>
    <col min="3826" max="3826" width="18.28515625" style="15" customWidth="1"/>
    <col min="3827" max="4063" width="9.140625" style="15"/>
    <col min="4064" max="4064" width="7.7109375" style="15" customWidth="1"/>
    <col min="4065" max="4065" width="31.5703125" style="15" customWidth="1"/>
    <col min="4066" max="4066" width="24" style="15" customWidth="1"/>
    <col min="4067" max="4067" width="22.140625" style="15" customWidth="1"/>
    <col min="4068" max="4068" width="21.28515625" style="15" customWidth="1"/>
    <col min="4069" max="4069" width="20.7109375" style="15" customWidth="1"/>
    <col min="4070" max="4070" width="11.7109375" style="15" customWidth="1"/>
    <col min="4071" max="4071" width="12" style="15" customWidth="1"/>
    <col min="4072" max="4072" width="11.7109375" style="15" customWidth="1"/>
    <col min="4073" max="4073" width="25.28515625" style="15" customWidth="1"/>
    <col min="4074" max="4074" width="15.28515625" style="15" customWidth="1"/>
    <col min="4075" max="4075" width="14.5703125" style="15" customWidth="1"/>
    <col min="4076" max="4076" width="15.140625" style="15" customWidth="1"/>
    <col min="4077" max="4077" width="21.28515625" style="15" customWidth="1"/>
    <col min="4078" max="4078" width="18.7109375" style="15" customWidth="1"/>
    <col min="4079" max="4079" width="20.85546875" style="15" customWidth="1"/>
    <col min="4080" max="4080" width="20.5703125" style="15" customWidth="1"/>
    <col min="4081" max="4081" width="19.7109375" style="15" customWidth="1"/>
    <col min="4082" max="4082" width="18.28515625" style="15" customWidth="1"/>
    <col min="4083" max="4319" width="9.140625" style="15"/>
    <col min="4320" max="4320" width="7.7109375" style="15" customWidth="1"/>
    <col min="4321" max="4321" width="31.5703125" style="15" customWidth="1"/>
    <col min="4322" max="4322" width="24" style="15" customWidth="1"/>
    <col min="4323" max="4323" width="22.140625" style="15" customWidth="1"/>
    <col min="4324" max="4324" width="21.28515625" style="15" customWidth="1"/>
    <col min="4325" max="4325" width="20.7109375" style="15" customWidth="1"/>
    <col min="4326" max="4326" width="11.7109375" style="15" customWidth="1"/>
    <col min="4327" max="4327" width="12" style="15" customWidth="1"/>
    <col min="4328" max="4328" width="11.7109375" style="15" customWidth="1"/>
    <col min="4329" max="4329" width="25.28515625" style="15" customWidth="1"/>
    <col min="4330" max="4330" width="15.28515625" style="15" customWidth="1"/>
    <col min="4331" max="4331" width="14.5703125" style="15" customWidth="1"/>
    <col min="4332" max="4332" width="15.140625" style="15" customWidth="1"/>
    <col min="4333" max="4333" width="21.28515625" style="15" customWidth="1"/>
    <col min="4334" max="4334" width="18.7109375" style="15" customWidth="1"/>
    <col min="4335" max="4335" width="20.85546875" style="15" customWidth="1"/>
    <col min="4336" max="4336" width="20.5703125" style="15" customWidth="1"/>
    <col min="4337" max="4337" width="19.7109375" style="15" customWidth="1"/>
    <col min="4338" max="4338" width="18.28515625" style="15" customWidth="1"/>
    <col min="4339" max="4575" width="9.140625" style="15"/>
    <col min="4576" max="4576" width="7.7109375" style="15" customWidth="1"/>
    <col min="4577" max="4577" width="31.5703125" style="15" customWidth="1"/>
    <col min="4578" max="4578" width="24" style="15" customWidth="1"/>
    <col min="4579" max="4579" width="22.140625" style="15" customWidth="1"/>
    <col min="4580" max="4580" width="21.28515625" style="15" customWidth="1"/>
    <col min="4581" max="4581" width="20.7109375" style="15" customWidth="1"/>
    <col min="4582" max="4582" width="11.7109375" style="15" customWidth="1"/>
    <col min="4583" max="4583" width="12" style="15" customWidth="1"/>
    <col min="4584" max="4584" width="11.7109375" style="15" customWidth="1"/>
    <col min="4585" max="4585" width="25.28515625" style="15" customWidth="1"/>
    <col min="4586" max="4586" width="15.28515625" style="15" customWidth="1"/>
    <col min="4587" max="4587" width="14.5703125" style="15" customWidth="1"/>
    <col min="4588" max="4588" width="15.140625" style="15" customWidth="1"/>
    <col min="4589" max="4589" width="21.28515625" style="15" customWidth="1"/>
    <col min="4590" max="4590" width="18.7109375" style="15" customWidth="1"/>
    <col min="4591" max="4591" width="20.85546875" style="15" customWidth="1"/>
    <col min="4592" max="4592" width="20.5703125" style="15" customWidth="1"/>
    <col min="4593" max="4593" width="19.7109375" style="15" customWidth="1"/>
    <col min="4594" max="4594" width="18.28515625" style="15" customWidth="1"/>
    <col min="4595" max="4831" width="9.140625" style="15"/>
    <col min="4832" max="4832" width="7.7109375" style="15" customWidth="1"/>
    <col min="4833" max="4833" width="31.5703125" style="15" customWidth="1"/>
    <col min="4834" max="4834" width="24" style="15" customWidth="1"/>
    <col min="4835" max="4835" width="22.140625" style="15" customWidth="1"/>
    <col min="4836" max="4836" width="21.28515625" style="15" customWidth="1"/>
    <col min="4837" max="4837" width="20.7109375" style="15" customWidth="1"/>
    <col min="4838" max="4838" width="11.7109375" style="15" customWidth="1"/>
    <col min="4839" max="4839" width="12" style="15" customWidth="1"/>
    <col min="4840" max="4840" width="11.7109375" style="15" customWidth="1"/>
    <col min="4841" max="4841" width="25.28515625" style="15" customWidth="1"/>
    <col min="4842" max="4842" width="15.28515625" style="15" customWidth="1"/>
    <col min="4843" max="4843" width="14.5703125" style="15" customWidth="1"/>
    <col min="4844" max="4844" width="15.140625" style="15" customWidth="1"/>
    <col min="4845" max="4845" width="21.28515625" style="15" customWidth="1"/>
    <col min="4846" max="4846" width="18.7109375" style="15" customWidth="1"/>
    <col min="4847" max="4847" width="20.85546875" style="15" customWidth="1"/>
    <col min="4848" max="4848" width="20.5703125" style="15" customWidth="1"/>
    <col min="4849" max="4849" width="19.7109375" style="15" customWidth="1"/>
    <col min="4850" max="4850" width="18.28515625" style="15" customWidth="1"/>
    <col min="4851" max="5087" width="9.140625" style="15"/>
    <col min="5088" max="5088" width="7.7109375" style="15" customWidth="1"/>
    <col min="5089" max="5089" width="31.5703125" style="15" customWidth="1"/>
    <col min="5090" max="5090" width="24" style="15" customWidth="1"/>
    <col min="5091" max="5091" width="22.140625" style="15" customWidth="1"/>
    <col min="5092" max="5092" width="21.28515625" style="15" customWidth="1"/>
    <col min="5093" max="5093" width="20.7109375" style="15" customWidth="1"/>
    <col min="5094" max="5094" width="11.7109375" style="15" customWidth="1"/>
    <col min="5095" max="5095" width="12" style="15" customWidth="1"/>
    <col min="5096" max="5096" width="11.7109375" style="15" customWidth="1"/>
    <col min="5097" max="5097" width="25.28515625" style="15" customWidth="1"/>
    <col min="5098" max="5098" width="15.28515625" style="15" customWidth="1"/>
    <col min="5099" max="5099" width="14.5703125" style="15" customWidth="1"/>
    <col min="5100" max="5100" width="15.140625" style="15" customWidth="1"/>
    <col min="5101" max="5101" width="21.28515625" style="15" customWidth="1"/>
    <col min="5102" max="5102" width="18.7109375" style="15" customWidth="1"/>
    <col min="5103" max="5103" width="20.85546875" style="15" customWidth="1"/>
    <col min="5104" max="5104" width="20.5703125" style="15" customWidth="1"/>
    <col min="5105" max="5105" width="19.7109375" style="15" customWidth="1"/>
    <col min="5106" max="5106" width="18.28515625" style="15" customWidth="1"/>
    <col min="5107" max="5343" width="9.140625" style="15"/>
    <col min="5344" max="5344" width="7.7109375" style="15" customWidth="1"/>
    <col min="5345" max="5345" width="31.5703125" style="15" customWidth="1"/>
    <col min="5346" max="5346" width="24" style="15" customWidth="1"/>
    <col min="5347" max="5347" width="22.140625" style="15" customWidth="1"/>
    <col min="5348" max="5348" width="21.28515625" style="15" customWidth="1"/>
    <col min="5349" max="5349" width="20.7109375" style="15" customWidth="1"/>
    <col min="5350" max="5350" width="11.7109375" style="15" customWidth="1"/>
    <col min="5351" max="5351" width="12" style="15" customWidth="1"/>
    <col min="5352" max="5352" width="11.7109375" style="15" customWidth="1"/>
    <col min="5353" max="5353" width="25.28515625" style="15" customWidth="1"/>
    <col min="5354" max="5354" width="15.28515625" style="15" customWidth="1"/>
    <col min="5355" max="5355" width="14.5703125" style="15" customWidth="1"/>
    <col min="5356" max="5356" width="15.140625" style="15" customWidth="1"/>
    <col min="5357" max="5357" width="21.28515625" style="15" customWidth="1"/>
    <col min="5358" max="5358" width="18.7109375" style="15" customWidth="1"/>
    <col min="5359" max="5359" width="20.85546875" style="15" customWidth="1"/>
    <col min="5360" max="5360" width="20.5703125" style="15" customWidth="1"/>
    <col min="5361" max="5361" width="19.7109375" style="15" customWidth="1"/>
    <col min="5362" max="5362" width="18.28515625" style="15" customWidth="1"/>
    <col min="5363" max="5599" width="9.140625" style="15"/>
    <col min="5600" max="5600" width="7.7109375" style="15" customWidth="1"/>
    <col min="5601" max="5601" width="31.5703125" style="15" customWidth="1"/>
    <col min="5602" max="5602" width="24" style="15" customWidth="1"/>
    <col min="5603" max="5603" width="22.140625" style="15" customWidth="1"/>
    <col min="5604" max="5604" width="21.28515625" style="15" customWidth="1"/>
    <col min="5605" max="5605" width="20.7109375" style="15" customWidth="1"/>
    <col min="5606" max="5606" width="11.7109375" style="15" customWidth="1"/>
    <col min="5607" max="5607" width="12" style="15" customWidth="1"/>
    <col min="5608" max="5608" width="11.7109375" style="15" customWidth="1"/>
    <col min="5609" max="5609" width="25.28515625" style="15" customWidth="1"/>
    <col min="5610" max="5610" width="15.28515625" style="15" customWidth="1"/>
    <col min="5611" max="5611" width="14.5703125" style="15" customWidth="1"/>
    <col min="5612" max="5612" width="15.140625" style="15" customWidth="1"/>
    <col min="5613" max="5613" width="21.28515625" style="15" customWidth="1"/>
    <col min="5614" max="5614" width="18.7109375" style="15" customWidth="1"/>
    <col min="5615" max="5615" width="20.85546875" style="15" customWidth="1"/>
    <col min="5616" max="5616" width="20.5703125" style="15" customWidth="1"/>
    <col min="5617" max="5617" width="19.7109375" style="15" customWidth="1"/>
    <col min="5618" max="5618" width="18.28515625" style="15" customWidth="1"/>
    <col min="5619" max="5855" width="9.140625" style="15"/>
    <col min="5856" max="5856" width="7.7109375" style="15" customWidth="1"/>
    <col min="5857" max="5857" width="31.5703125" style="15" customWidth="1"/>
    <col min="5858" max="5858" width="24" style="15" customWidth="1"/>
    <col min="5859" max="5859" width="22.140625" style="15" customWidth="1"/>
    <col min="5860" max="5860" width="21.28515625" style="15" customWidth="1"/>
    <col min="5861" max="5861" width="20.7109375" style="15" customWidth="1"/>
    <col min="5862" max="5862" width="11.7109375" style="15" customWidth="1"/>
    <col min="5863" max="5863" width="12" style="15" customWidth="1"/>
    <col min="5864" max="5864" width="11.7109375" style="15" customWidth="1"/>
    <col min="5865" max="5865" width="25.28515625" style="15" customWidth="1"/>
    <col min="5866" max="5866" width="15.28515625" style="15" customWidth="1"/>
    <col min="5867" max="5867" width="14.5703125" style="15" customWidth="1"/>
    <col min="5868" max="5868" width="15.140625" style="15" customWidth="1"/>
    <col min="5869" max="5869" width="21.28515625" style="15" customWidth="1"/>
    <col min="5870" max="5870" width="18.7109375" style="15" customWidth="1"/>
    <col min="5871" max="5871" width="20.85546875" style="15" customWidth="1"/>
    <col min="5872" max="5872" width="20.5703125" style="15" customWidth="1"/>
    <col min="5873" max="5873" width="19.7109375" style="15" customWidth="1"/>
    <col min="5874" max="5874" width="18.28515625" style="15" customWidth="1"/>
    <col min="5875" max="6111" width="9.140625" style="15"/>
    <col min="6112" max="6112" width="7.7109375" style="15" customWidth="1"/>
    <col min="6113" max="6113" width="31.5703125" style="15" customWidth="1"/>
    <col min="6114" max="6114" width="24" style="15" customWidth="1"/>
    <col min="6115" max="6115" width="22.140625" style="15" customWidth="1"/>
    <col min="6116" max="6116" width="21.28515625" style="15" customWidth="1"/>
    <col min="6117" max="6117" width="20.7109375" style="15" customWidth="1"/>
    <col min="6118" max="6118" width="11.7109375" style="15" customWidth="1"/>
    <col min="6119" max="6119" width="12" style="15" customWidth="1"/>
    <col min="6120" max="6120" width="11.7109375" style="15" customWidth="1"/>
    <col min="6121" max="6121" width="25.28515625" style="15" customWidth="1"/>
    <col min="6122" max="6122" width="15.28515625" style="15" customWidth="1"/>
    <col min="6123" max="6123" width="14.5703125" style="15" customWidth="1"/>
    <col min="6124" max="6124" width="15.140625" style="15" customWidth="1"/>
    <col min="6125" max="6125" width="21.28515625" style="15" customWidth="1"/>
    <col min="6126" max="6126" width="18.7109375" style="15" customWidth="1"/>
    <col min="6127" max="6127" width="20.85546875" style="15" customWidth="1"/>
    <col min="6128" max="6128" width="20.5703125" style="15" customWidth="1"/>
    <col min="6129" max="6129" width="19.7109375" style="15" customWidth="1"/>
    <col min="6130" max="6130" width="18.28515625" style="15" customWidth="1"/>
    <col min="6131" max="6367" width="9.140625" style="15"/>
    <col min="6368" max="6368" width="7.7109375" style="15" customWidth="1"/>
    <col min="6369" max="6369" width="31.5703125" style="15" customWidth="1"/>
    <col min="6370" max="6370" width="24" style="15" customWidth="1"/>
    <col min="6371" max="6371" width="22.140625" style="15" customWidth="1"/>
    <col min="6372" max="6372" width="21.28515625" style="15" customWidth="1"/>
    <col min="6373" max="6373" width="20.7109375" style="15" customWidth="1"/>
    <col min="6374" max="6374" width="11.7109375" style="15" customWidth="1"/>
    <col min="6375" max="6375" width="12" style="15" customWidth="1"/>
    <col min="6376" max="6376" width="11.7109375" style="15" customWidth="1"/>
    <col min="6377" max="6377" width="25.28515625" style="15" customWidth="1"/>
    <col min="6378" max="6378" width="15.28515625" style="15" customWidth="1"/>
    <col min="6379" max="6379" width="14.5703125" style="15" customWidth="1"/>
    <col min="6380" max="6380" width="15.140625" style="15" customWidth="1"/>
    <col min="6381" max="6381" width="21.28515625" style="15" customWidth="1"/>
    <col min="6382" max="6382" width="18.7109375" style="15" customWidth="1"/>
    <col min="6383" max="6383" width="20.85546875" style="15" customWidth="1"/>
    <col min="6384" max="6384" width="20.5703125" style="15" customWidth="1"/>
    <col min="6385" max="6385" width="19.7109375" style="15" customWidth="1"/>
    <col min="6386" max="6386" width="18.28515625" style="15" customWidth="1"/>
    <col min="6387" max="6623" width="9.140625" style="15"/>
    <col min="6624" max="6624" width="7.7109375" style="15" customWidth="1"/>
    <col min="6625" max="6625" width="31.5703125" style="15" customWidth="1"/>
    <col min="6626" max="6626" width="24" style="15" customWidth="1"/>
    <col min="6627" max="6627" width="22.140625" style="15" customWidth="1"/>
    <col min="6628" max="6628" width="21.28515625" style="15" customWidth="1"/>
    <col min="6629" max="6629" width="20.7109375" style="15" customWidth="1"/>
    <col min="6630" max="6630" width="11.7109375" style="15" customWidth="1"/>
    <col min="6631" max="6631" width="12" style="15" customWidth="1"/>
    <col min="6632" max="6632" width="11.7109375" style="15" customWidth="1"/>
    <col min="6633" max="6633" width="25.28515625" style="15" customWidth="1"/>
    <col min="6634" max="6634" width="15.28515625" style="15" customWidth="1"/>
    <col min="6635" max="6635" width="14.5703125" style="15" customWidth="1"/>
    <col min="6636" max="6636" width="15.140625" style="15" customWidth="1"/>
    <col min="6637" max="6637" width="21.28515625" style="15" customWidth="1"/>
    <col min="6638" max="6638" width="18.7109375" style="15" customWidth="1"/>
    <col min="6639" max="6639" width="20.85546875" style="15" customWidth="1"/>
    <col min="6640" max="6640" width="20.5703125" style="15" customWidth="1"/>
    <col min="6641" max="6641" width="19.7109375" style="15" customWidth="1"/>
    <col min="6642" max="6642" width="18.28515625" style="15" customWidth="1"/>
    <col min="6643" max="6879" width="9.140625" style="15"/>
    <col min="6880" max="6880" width="7.7109375" style="15" customWidth="1"/>
    <col min="6881" max="6881" width="31.5703125" style="15" customWidth="1"/>
    <col min="6882" max="6882" width="24" style="15" customWidth="1"/>
    <col min="6883" max="6883" width="22.140625" style="15" customWidth="1"/>
    <col min="6884" max="6884" width="21.28515625" style="15" customWidth="1"/>
    <col min="6885" max="6885" width="20.7109375" style="15" customWidth="1"/>
    <col min="6886" max="6886" width="11.7109375" style="15" customWidth="1"/>
    <col min="6887" max="6887" width="12" style="15" customWidth="1"/>
    <col min="6888" max="6888" width="11.7109375" style="15" customWidth="1"/>
    <col min="6889" max="6889" width="25.28515625" style="15" customWidth="1"/>
    <col min="6890" max="6890" width="15.28515625" style="15" customWidth="1"/>
    <col min="6891" max="6891" width="14.5703125" style="15" customWidth="1"/>
    <col min="6892" max="6892" width="15.140625" style="15" customWidth="1"/>
    <col min="6893" max="6893" width="21.28515625" style="15" customWidth="1"/>
    <col min="6894" max="6894" width="18.7109375" style="15" customWidth="1"/>
    <col min="6895" max="6895" width="20.85546875" style="15" customWidth="1"/>
    <col min="6896" max="6896" width="20.5703125" style="15" customWidth="1"/>
    <col min="6897" max="6897" width="19.7109375" style="15" customWidth="1"/>
    <col min="6898" max="6898" width="18.28515625" style="15" customWidth="1"/>
    <col min="6899" max="7135" width="9.140625" style="15"/>
    <col min="7136" max="7136" width="7.7109375" style="15" customWidth="1"/>
    <col min="7137" max="7137" width="31.5703125" style="15" customWidth="1"/>
    <col min="7138" max="7138" width="24" style="15" customWidth="1"/>
    <col min="7139" max="7139" width="22.140625" style="15" customWidth="1"/>
    <col min="7140" max="7140" width="21.28515625" style="15" customWidth="1"/>
    <col min="7141" max="7141" width="20.7109375" style="15" customWidth="1"/>
    <col min="7142" max="7142" width="11.7109375" style="15" customWidth="1"/>
    <col min="7143" max="7143" width="12" style="15" customWidth="1"/>
    <col min="7144" max="7144" width="11.7109375" style="15" customWidth="1"/>
    <col min="7145" max="7145" width="25.28515625" style="15" customWidth="1"/>
    <col min="7146" max="7146" width="15.28515625" style="15" customWidth="1"/>
    <col min="7147" max="7147" width="14.5703125" style="15" customWidth="1"/>
    <col min="7148" max="7148" width="15.140625" style="15" customWidth="1"/>
    <col min="7149" max="7149" width="21.28515625" style="15" customWidth="1"/>
    <col min="7150" max="7150" width="18.7109375" style="15" customWidth="1"/>
    <col min="7151" max="7151" width="20.85546875" style="15" customWidth="1"/>
    <col min="7152" max="7152" width="20.5703125" style="15" customWidth="1"/>
    <col min="7153" max="7153" width="19.7109375" style="15" customWidth="1"/>
    <col min="7154" max="7154" width="18.28515625" style="15" customWidth="1"/>
    <col min="7155" max="7391" width="9.140625" style="15"/>
    <col min="7392" max="7392" width="7.7109375" style="15" customWidth="1"/>
    <col min="7393" max="7393" width="31.5703125" style="15" customWidth="1"/>
    <col min="7394" max="7394" width="24" style="15" customWidth="1"/>
    <col min="7395" max="7395" width="22.140625" style="15" customWidth="1"/>
    <col min="7396" max="7396" width="21.28515625" style="15" customWidth="1"/>
    <col min="7397" max="7397" width="20.7109375" style="15" customWidth="1"/>
    <col min="7398" max="7398" width="11.7109375" style="15" customWidth="1"/>
    <col min="7399" max="7399" width="12" style="15" customWidth="1"/>
    <col min="7400" max="7400" width="11.7109375" style="15" customWidth="1"/>
    <col min="7401" max="7401" width="25.28515625" style="15" customWidth="1"/>
    <col min="7402" max="7402" width="15.28515625" style="15" customWidth="1"/>
    <col min="7403" max="7403" width="14.5703125" style="15" customWidth="1"/>
    <col min="7404" max="7404" width="15.140625" style="15" customWidth="1"/>
    <col min="7405" max="7405" width="21.28515625" style="15" customWidth="1"/>
    <col min="7406" max="7406" width="18.7109375" style="15" customWidth="1"/>
    <col min="7407" max="7407" width="20.85546875" style="15" customWidth="1"/>
    <col min="7408" max="7408" width="20.5703125" style="15" customWidth="1"/>
    <col min="7409" max="7409" width="19.7109375" style="15" customWidth="1"/>
    <col min="7410" max="7410" width="18.28515625" style="15" customWidth="1"/>
    <col min="7411" max="7647" width="9.140625" style="15"/>
    <col min="7648" max="7648" width="7.7109375" style="15" customWidth="1"/>
    <col min="7649" max="7649" width="31.5703125" style="15" customWidth="1"/>
    <col min="7650" max="7650" width="24" style="15" customWidth="1"/>
    <col min="7651" max="7651" width="22.140625" style="15" customWidth="1"/>
    <col min="7652" max="7652" width="21.28515625" style="15" customWidth="1"/>
    <col min="7653" max="7653" width="20.7109375" style="15" customWidth="1"/>
    <col min="7654" max="7654" width="11.7109375" style="15" customWidth="1"/>
    <col min="7655" max="7655" width="12" style="15" customWidth="1"/>
    <col min="7656" max="7656" width="11.7109375" style="15" customWidth="1"/>
    <col min="7657" max="7657" width="25.28515625" style="15" customWidth="1"/>
    <col min="7658" max="7658" width="15.28515625" style="15" customWidth="1"/>
    <col min="7659" max="7659" width="14.5703125" style="15" customWidth="1"/>
    <col min="7660" max="7660" width="15.140625" style="15" customWidth="1"/>
    <col min="7661" max="7661" width="21.28515625" style="15" customWidth="1"/>
    <col min="7662" max="7662" width="18.7109375" style="15" customWidth="1"/>
    <col min="7663" max="7663" width="20.85546875" style="15" customWidth="1"/>
    <col min="7664" max="7664" width="20.5703125" style="15" customWidth="1"/>
    <col min="7665" max="7665" width="19.7109375" style="15" customWidth="1"/>
    <col min="7666" max="7666" width="18.28515625" style="15" customWidth="1"/>
    <col min="7667" max="7903" width="9.140625" style="15"/>
    <col min="7904" max="7904" width="7.7109375" style="15" customWidth="1"/>
    <col min="7905" max="7905" width="31.5703125" style="15" customWidth="1"/>
    <col min="7906" max="7906" width="24" style="15" customWidth="1"/>
    <col min="7907" max="7907" width="22.140625" style="15" customWidth="1"/>
    <col min="7908" max="7908" width="21.28515625" style="15" customWidth="1"/>
    <col min="7909" max="7909" width="20.7109375" style="15" customWidth="1"/>
    <col min="7910" max="7910" width="11.7109375" style="15" customWidth="1"/>
    <col min="7911" max="7911" width="12" style="15" customWidth="1"/>
    <col min="7912" max="7912" width="11.7109375" style="15" customWidth="1"/>
    <col min="7913" max="7913" width="25.28515625" style="15" customWidth="1"/>
    <col min="7914" max="7914" width="15.28515625" style="15" customWidth="1"/>
    <col min="7915" max="7915" width="14.5703125" style="15" customWidth="1"/>
    <col min="7916" max="7916" width="15.140625" style="15" customWidth="1"/>
    <col min="7917" max="7917" width="21.28515625" style="15" customWidth="1"/>
    <col min="7918" max="7918" width="18.7109375" style="15" customWidth="1"/>
    <col min="7919" max="7919" width="20.85546875" style="15" customWidth="1"/>
    <col min="7920" max="7920" width="20.5703125" style="15" customWidth="1"/>
    <col min="7921" max="7921" width="19.7109375" style="15" customWidth="1"/>
    <col min="7922" max="7922" width="18.28515625" style="15" customWidth="1"/>
    <col min="7923" max="8159" width="9.140625" style="15"/>
    <col min="8160" max="8160" width="7.7109375" style="15" customWidth="1"/>
    <col min="8161" max="8161" width="31.5703125" style="15" customWidth="1"/>
    <col min="8162" max="8162" width="24" style="15" customWidth="1"/>
    <col min="8163" max="8163" width="22.140625" style="15" customWidth="1"/>
    <col min="8164" max="8164" width="21.28515625" style="15" customWidth="1"/>
    <col min="8165" max="8165" width="20.7109375" style="15" customWidth="1"/>
    <col min="8166" max="8166" width="11.7109375" style="15" customWidth="1"/>
    <col min="8167" max="8167" width="12" style="15" customWidth="1"/>
    <col min="8168" max="8168" width="11.7109375" style="15" customWidth="1"/>
    <col min="8169" max="8169" width="25.28515625" style="15" customWidth="1"/>
    <col min="8170" max="8170" width="15.28515625" style="15" customWidth="1"/>
    <col min="8171" max="8171" width="14.5703125" style="15" customWidth="1"/>
    <col min="8172" max="8172" width="15.140625" style="15" customWidth="1"/>
    <col min="8173" max="8173" width="21.28515625" style="15" customWidth="1"/>
    <col min="8174" max="8174" width="18.7109375" style="15" customWidth="1"/>
    <col min="8175" max="8175" width="20.85546875" style="15" customWidth="1"/>
    <col min="8176" max="8176" width="20.5703125" style="15" customWidth="1"/>
    <col min="8177" max="8177" width="19.7109375" style="15" customWidth="1"/>
    <col min="8178" max="8178" width="18.28515625" style="15" customWidth="1"/>
    <col min="8179" max="8415" width="9.140625" style="15"/>
    <col min="8416" max="8416" width="7.7109375" style="15" customWidth="1"/>
    <col min="8417" max="8417" width="31.5703125" style="15" customWidth="1"/>
    <col min="8418" max="8418" width="24" style="15" customWidth="1"/>
    <col min="8419" max="8419" width="22.140625" style="15" customWidth="1"/>
    <col min="8420" max="8420" width="21.28515625" style="15" customWidth="1"/>
    <col min="8421" max="8421" width="20.7109375" style="15" customWidth="1"/>
    <col min="8422" max="8422" width="11.7109375" style="15" customWidth="1"/>
    <col min="8423" max="8423" width="12" style="15" customWidth="1"/>
    <col min="8424" max="8424" width="11.7109375" style="15" customWidth="1"/>
    <col min="8425" max="8425" width="25.28515625" style="15" customWidth="1"/>
    <col min="8426" max="8426" width="15.28515625" style="15" customWidth="1"/>
    <col min="8427" max="8427" width="14.5703125" style="15" customWidth="1"/>
    <col min="8428" max="8428" width="15.140625" style="15" customWidth="1"/>
    <col min="8429" max="8429" width="21.28515625" style="15" customWidth="1"/>
    <col min="8430" max="8430" width="18.7109375" style="15" customWidth="1"/>
    <col min="8431" max="8431" width="20.85546875" style="15" customWidth="1"/>
    <col min="8432" max="8432" width="20.5703125" style="15" customWidth="1"/>
    <col min="8433" max="8433" width="19.7109375" style="15" customWidth="1"/>
    <col min="8434" max="8434" width="18.28515625" style="15" customWidth="1"/>
    <col min="8435" max="8671" width="9.140625" style="15"/>
    <col min="8672" max="8672" width="7.7109375" style="15" customWidth="1"/>
    <col min="8673" max="8673" width="31.5703125" style="15" customWidth="1"/>
    <col min="8674" max="8674" width="24" style="15" customWidth="1"/>
    <col min="8675" max="8675" width="22.140625" style="15" customWidth="1"/>
    <col min="8676" max="8676" width="21.28515625" style="15" customWidth="1"/>
    <col min="8677" max="8677" width="20.7109375" style="15" customWidth="1"/>
    <col min="8678" max="8678" width="11.7109375" style="15" customWidth="1"/>
    <col min="8679" max="8679" width="12" style="15" customWidth="1"/>
    <col min="8680" max="8680" width="11.7109375" style="15" customWidth="1"/>
    <col min="8681" max="8681" width="25.28515625" style="15" customWidth="1"/>
    <col min="8682" max="8682" width="15.28515625" style="15" customWidth="1"/>
    <col min="8683" max="8683" width="14.5703125" style="15" customWidth="1"/>
    <col min="8684" max="8684" width="15.140625" style="15" customWidth="1"/>
    <col min="8685" max="8685" width="21.28515625" style="15" customWidth="1"/>
    <col min="8686" max="8686" width="18.7109375" style="15" customWidth="1"/>
    <col min="8687" max="8687" width="20.85546875" style="15" customWidth="1"/>
    <col min="8688" max="8688" width="20.5703125" style="15" customWidth="1"/>
    <col min="8689" max="8689" width="19.7109375" style="15" customWidth="1"/>
    <col min="8690" max="8690" width="18.28515625" style="15" customWidth="1"/>
    <col min="8691" max="8927" width="9.140625" style="15"/>
    <col min="8928" max="8928" width="7.7109375" style="15" customWidth="1"/>
    <col min="8929" max="8929" width="31.5703125" style="15" customWidth="1"/>
    <col min="8930" max="8930" width="24" style="15" customWidth="1"/>
    <col min="8931" max="8931" width="22.140625" style="15" customWidth="1"/>
    <col min="8932" max="8932" width="21.28515625" style="15" customWidth="1"/>
    <col min="8933" max="8933" width="20.7109375" style="15" customWidth="1"/>
    <col min="8934" max="8934" width="11.7109375" style="15" customWidth="1"/>
    <col min="8935" max="8935" width="12" style="15" customWidth="1"/>
    <col min="8936" max="8936" width="11.7109375" style="15" customWidth="1"/>
    <col min="8937" max="8937" width="25.28515625" style="15" customWidth="1"/>
    <col min="8938" max="8938" width="15.28515625" style="15" customWidth="1"/>
    <col min="8939" max="8939" width="14.5703125" style="15" customWidth="1"/>
    <col min="8940" max="8940" width="15.140625" style="15" customWidth="1"/>
    <col min="8941" max="8941" width="21.28515625" style="15" customWidth="1"/>
    <col min="8942" max="8942" width="18.7109375" style="15" customWidth="1"/>
    <col min="8943" max="8943" width="20.85546875" style="15" customWidth="1"/>
    <col min="8944" max="8944" width="20.5703125" style="15" customWidth="1"/>
    <col min="8945" max="8945" width="19.7109375" style="15" customWidth="1"/>
    <col min="8946" max="8946" width="18.28515625" style="15" customWidth="1"/>
    <col min="8947" max="9183" width="9.140625" style="15"/>
    <col min="9184" max="9184" width="7.7109375" style="15" customWidth="1"/>
    <col min="9185" max="9185" width="31.5703125" style="15" customWidth="1"/>
    <col min="9186" max="9186" width="24" style="15" customWidth="1"/>
    <col min="9187" max="9187" width="22.140625" style="15" customWidth="1"/>
    <col min="9188" max="9188" width="21.28515625" style="15" customWidth="1"/>
    <col min="9189" max="9189" width="20.7109375" style="15" customWidth="1"/>
    <col min="9190" max="9190" width="11.7109375" style="15" customWidth="1"/>
    <col min="9191" max="9191" width="12" style="15" customWidth="1"/>
    <col min="9192" max="9192" width="11.7109375" style="15" customWidth="1"/>
    <col min="9193" max="9193" width="25.28515625" style="15" customWidth="1"/>
    <col min="9194" max="9194" width="15.28515625" style="15" customWidth="1"/>
    <col min="9195" max="9195" width="14.5703125" style="15" customWidth="1"/>
    <col min="9196" max="9196" width="15.140625" style="15" customWidth="1"/>
    <col min="9197" max="9197" width="21.28515625" style="15" customWidth="1"/>
    <col min="9198" max="9198" width="18.7109375" style="15" customWidth="1"/>
    <col min="9199" max="9199" width="20.85546875" style="15" customWidth="1"/>
    <col min="9200" max="9200" width="20.5703125" style="15" customWidth="1"/>
    <col min="9201" max="9201" width="19.7109375" style="15" customWidth="1"/>
    <col min="9202" max="9202" width="18.28515625" style="15" customWidth="1"/>
    <col min="9203" max="9439" width="9.140625" style="15"/>
    <col min="9440" max="9440" width="7.7109375" style="15" customWidth="1"/>
    <col min="9441" max="9441" width="31.5703125" style="15" customWidth="1"/>
    <col min="9442" max="9442" width="24" style="15" customWidth="1"/>
    <col min="9443" max="9443" width="22.140625" style="15" customWidth="1"/>
    <col min="9444" max="9444" width="21.28515625" style="15" customWidth="1"/>
    <col min="9445" max="9445" width="20.7109375" style="15" customWidth="1"/>
    <col min="9446" max="9446" width="11.7109375" style="15" customWidth="1"/>
    <col min="9447" max="9447" width="12" style="15" customWidth="1"/>
    <col min="9448" max="9448" width="11.7109375" style="15" customWidth="1"/>
    <col min="9449" max="9449" width="25.28515625" style="15" customWidth="1"/>
    <col min="9450" max="9450" width="15.28515625" style="15" customWidth="1"/>
    <col min="9451" max="9451" width="14.5703125" style="15" customWidth="1"/>
    <col min="9452" max="9452" width="15.140625" style="15" customWidth="1"/>
    <col min="9453" max="9453" width="21.28515625" style="15" customWidth="1"/>
    <col min="9454" max="9454" width="18.7109375" style="15" customWidth="1"/>
    <col min="9455" max="9455" width="20.85546875" style="15" customWidth="1"/>
    <col min="9456" max="9456" width="20.5703125" style="15" customWidth="1"/>
    <col min="9457" max="9457" width="19.7109375" style="15" customWidth="1"/>
    <col min="9458" max="9458" width="18.28515625" style="15" customWidth="1"/>
    <col min="9459" max="9695" width="9.140625" style="15"/>
    <col min="9696" max="9696" width="7.7109375" style="15" customWidth="1"/>
    <col min="9697" max="9697" width="31.5703125" style="15" customWidth="1"/>
    <col min="9698" max="9698" width="24" style="15" customWidth="1"/>
    <col min="9699" max="9699" width="22.140625" style="15" customWidth="1"/>
    <col min="9700" max="9700" width="21.28515625" style="15" customWidth="1"/>
    <col min="9701" max="9701" width="20.7109375" style="15" customWidth="1"/>
    <col min="9702" max="9702" width="11.7109375" style="15" customWidth="1"/>
    <col min="9703" max="9703" width="12" style="15" customWidth="1"/>
    <col min="9704" max="9704" width="11.7109375" style="15" customWidth="1"/>
    <col min="9705" max="9705" width="25.28515625" style="15" customWidth="1"/>
    <col min="9706" max="9706" width="15.28515625" style="15" customWidth="1"/>
    <col min="9707" max="9707" width="14.5703125" style="15" customWidth="1"/>
    <col min="9708" max="9708" width="15.140625" style="15" customWidth="1"/>
    <col min="9709" max="9709" width="21.28515625" style="15" customWidth="1"/>
    <col min="9710" max="9710" width="18.7109375" style="15" customWidth="1"/>
    <col min="9711" max="9711" width="20.85546875" style="15" customWidth="1"/>
    <col min="9712" max="9712" width="20.5703125" style="15" customWidth="1"/>
    <col min="9713" max="9713" width="19.7109375" style="15" customWidth="1"/>
    <col min="9714" max="9714" width="18.28515625" style="15" customWidth="1"/>
    <col min="9715" max="9951" width="9.140625" style="15"/>
    <col min="9952" max="9952" width="7.7109375" style="15" customWidth="1"/>
    <col min="9953" max="9953" width="31.5703125" style="15" customWidth="1"/>
    <col min="9954" max="9954" width="24" style="15" customWidth="1"/>
    <col min="9955" max="9955" width="22.140625" style="15" customWidth="1"/>
    <col min="9956" max="9956" width="21.28515625" style="15" customWidth="1"/>
    <col min="9957" max="9957" width="20.7109375" style="15" customWidth="1"/>
    <col min="9958" max="9958" width="11.7109375" style="15" customWidth="1"/>
    <col min="9959" max="9959" width="12" style="15" customWidth="1"/>
    <col min="9960" max="9960" width="11.7109375" style="15" customWidth="1"/>
    <col min="9961" max="9961" width="25.28515625" style="15" customWidth="1"/>
    <col min="9962" max="9962" width="15.28515625" style="15" customWidth="1"/>
    <col min="9963" max="9963" width="14.5703125" style="15" customWidth="1"/>
    <col min="9964" max="9964" width="15.140625" style="15" customWidth="1"/>
    <col min="9965" max="9965" width="21.28515625" style="15" customWidth="1"/>
    <col min="9966" max="9966" width="18.7109375" style="15" customWidth="1"/>
    <col min="9967" max="9967" width="20.85546875" style="15" customWidth="1"/>
    <col min="9968" max="9968" width="20.5703125" style="15" customWidth="1"/>
    <col min="9969" max="9969" width="19.7109375" style="15" customWidth="1"/>
    <col min="9970" max="9970" width="18.28515625" style="15" customWidth="1"/>
    <col min="9971" max="10207" width="9.140625" style="15"/>
    <col min="10208" max="10208" width="7.7109375" style="15" customWidth="1"/>
    <col min="10209" max="10209" width="31.5703125" style="15" customWidth="1"/>
    <col min="10210" max="10210" width="24" style="15" customWidth="1"/>
    <col min="10211" max="10211" width="22.140625" style="15" customWidth="1"/>
    <col min="10212" max="10212" width="21.28515625" style="15" customWidth="1"/>
    <col min="10213" max="10213" width="20.7109375" style="15" customWidth="1"/>
    <col min="10214" max="10214" width="11.7109375" style="15" customWidth="1"/>
    <col min="10215" max="10215" width="12" style="15" customWidth="1"/>
    <col min="10216" max="10216" width="11.7109375" style="15" customWidth="1"/>
    <col min="10217" max="10217" width="25.28515625" style="15" customWidth="1"/>
    <col min="10218" max="10218" width="15.28515625" style="15" customWidth="1"/>
    <col min="10219" max="10219" width="14.5703125" style="15" customWidth="1"/>
    <col min="10220" max="10220" width="15.140625" style="15" customWidth="1"/>
    <col min="10221" max="10221" width="21.28515625" style="15" customWidth="1"/>
    <col min="10222" max="10222" width="18.7109375" style="15" customWidth="1"/>
    <col min="10223" max="10223" width="20.85546875" style="15" customWidth="1"/>
    <col min="10224" max="10224" width="20.5703125" style="15" customWidth="1"/>
    <col min="10225" max="10225" width="19.7109375" style="15" customWidth="1"/>
    <col min="10226" max="10226" width="18.28515625" style="15" customWidth="1"/>
    <col min="10227" max="10463" width="9.140625" style="15"/>
    <col min="10464" max="10464" width="7.7109375" style="15" customWidth="1"/>
    <col min="10465" max="10465" width="31.5703125" style="15" customWidth="1"/>
    <col min="10466" max="10466" width="24" style="15" customWidth="1"/>
    <col min="10467" max="10467" width="22.140625" style="15" customWidth="1"/>
    <col min="10468" max="10468" width="21.28515625" style="15" customWidth="1"/>
    <col min="10469" max="10469" width="20.7109375" style="15" customWidth="1"/>
    <col min="10470" max="10470" width="11.7109375" style="15" customWidth="1"/>
    <col min="10471" max="10471" width="12" style="15" customWidth="1"/>
    <col min="10472" max="10472" width="11.7109375" style="15" customWidth="1"/>
    <col min="10473" max="10473" width="25.28515625" style="15" customWidth="1"/>
    <col min="10474" max="10474" width="15.28515625" style="15" customWidth="1"/>
    <col min="10475" max="10475" width="14.5703125" style="15" customWidth="1"/>
    <col min="10476" max="10476" width="15.140625" style="15" customWidth="1"/>
    <col min="10477" max="10477" width="21.28515625" style="15" customWidth="1"/>
    <col min="10478" max="10478" width="18.7109375" style="15" customWidth="1"/>
    <col min="10479" max="10479" width="20.85546875" style="15" customWidth="1"/>
    <col min="10480" max="10480" width="20.5703125" style="15" customWidth="1"/>
    <col min="10481" max="10481" width="19.7109375" style="15" customWidth="1"/>
    <col min="10482" max="10482" width="18.28515625" style="15" customWidth="1"/>
    <col min="10483" max="10719" width="9.140625" style="15"/>
    <col min="10720" max="10720" width="7.7109375" style="15" customWidth="1"/>
    <col min="10721" max="10721" width="31.5703125" style="15" customWidth="1"/>
    <col min="10722" max="10722" width="24" style="15" customWidth="1"/>
    <col min="10723" max="10723" width="22.140625" style="15" customWidth="1"/>
    <col min="10724" max="10724" width="21.28515625" style="15" customWidth="1"/>
    <col min="10725" max="10725" width="20.7109375" style="15" customWidth="1"/>
    <col min="10726" max="10726" width="11.7109375" style="15" customWidth="1"/>
    <col min="10727" max="10727" width="12" style="15" customWidth="1"/>
    <col min="10728" max="10728" width="11.7109375" style="15" customWidth="1"/>
    <col min="10729" max="10729" width="25.28515625" style="15" customWidth="1"/>
    <col min="10730" max="10730" width="15.28515625" style="15" customWidth="1"/>
    <col min="10731" max="10731" width="14.5703125" style="15" customWidth="1"/>
    <col min="10732" max="10732" width="15.140625" style="15" customWidth="1"/>
    <col min="10733" max="10733" width="21.28515625" style="15" customWidth="1"/>
    <col min="10734" max="10734" width="18.7109375" style="15" customWidth="1"/>
    <col min="10735" max="10735" width="20.85546875" style="15" customWidth="1"/>
    <col min="10736" max="10736" width="20.5703125" style="15" customWidth="1"/>
    <col min="10737" max="10737" width="19.7109375" style="15" customWidth="1"/>
    <col min="10738" max="10738" width="18.28515625" style="15" customWidth="1"/>
    <col min="10739" max="10975" width="9.140625" style="15"/>
    <col min="10976" max="10976" width="7.7109375" style="15" customWidth="1"/>
    <col min="10977" max="10977" width="31.5703125" style="15" customWidth="1"/>
    <col min="10978" max="10978" width="24" style="15" customWidth="1"/>
    <col min="10979" max="10979" width="22.140625" style="15" customWidth="1"/>
    <col min="10980" max="10980" width="21.28515625" style="15" customWidth="1"/>
    <col min="10981" max="10981" width="20.7109375" style="15" customWidth="1"/>
    <col min="10982" max="10982" width="11.7109375" style="15" customWidth="1"/>
    <col min="10983" max="10983" width="12" style="15" customWidth="1"/>
    <col min="10984" max="10984" width="11.7109375" style="15" customWidth="1"/>
    <col min="10985" max="10985" width="25.28515625" style="15" customWidth="1"/>
    <col min="10986" max="10986" width="15.28515625" style="15" customWidth="1"/>
    <col min="10987" max="10987" width="14.5703125" style="15" customWidth="1"/>
    <col min="10988" max="10988" width="15.140625" style="15" customWidth="1"/>
    <col min="10989" max="10989" width="21.28515625" style="15" customWidth="1"/>
    <col min="10990" max="10990" width="18.7109375" style="15" customWidth="1"/>
    <col min="10991" max="10991" width="20.85546875" style="15" customWidth="1"/>
    <col min="10992" max="10992" width="20.5703125" style="15" customWidth="1"/>
    <col min="10993" max="10993" width="19.7109375" style="15" customWidth="1"/>
    <col min="10994" max="10994" width="18.28515625" style="15" customWidth="1"/>
    <col min="10995" max="11231" width="9.140625" style="15"/>
    <col min="11232" max="11232" width="7.7109375" style="15" customWidth="1"/>
    <col min="11233" max="11233" width="31.5703125" style="15" customWidth="1"/>
    <col min="11234" max="11234" width="24" style="15" customWidth="1"/>
    <col min="11235" max="11235" width="22.140625" style="15" customWidth="1"/>
    <col min="11236" max="11236" width="21.28515625" style="15" customWidth="1"/>
    <col min="11237" max="11237" width="20.7109375" style="15" customWidth="1"/>
    <col min="11238" max="11238" width="11.7109375" style="15" customWidth="1"/>
    <col min="11239" max="11239" width="12" style="15" customWidth="1"/>
    <col min="11240" max="11240" width="11.7109375" style="15" customWidth="1"/>
    <col min="11241" max="11241" width="25.28515625" style="15" customWidth="1"/>
    <col min="11242" max="11242" width="15.28515625" style="15" customWidth="1"/>
    <col min="11243" max="11243" width="14.5703125" style="15" customWidth="1"/>
    <col min="11244" max="11244" width="15.140625" style="15" customWidth="1"/>
    <col min="11245" max="11245" width="21.28515625" style="15" customWidth="1"/>
    <col min="11246" max="11246" width="18.7109375" style="15" customWidth="1"/>
    <col min="11247" max="11247" width="20.85546875" style="15" customWidth="1"/>
    <col min="11248" max="11248" width="20.5703125" style="15" customWidth="1"/>
    <col min="11249" max="11249" width="19.7109375" style="15" customWidth="1"/>
    <col min="11250" max="11250" width="18.28515625" style="15" customWidth="1"/>
    <col min="11251" max="11487" width="9.140625" style="15"/>
    <col min="11488" max="11488" width="7.7109375" style="15" customWidth="1"/>
    <col min="11489" max="11489" width="31.5703125" style="15" customWidth="1"/>
    <col min="11490" max="11490" width="24" style="15" customWidth="1"/>
    <col min="11491" max="11491" width="22.140625" style="15" customWidth="1"/>
    <col min="11492" max="11492" width="21.28515625" style="15" customWidth="1"/>
    <col min="11493" max="11493" width="20.7109375" style="15" customWidth="1"/>
    <col min="11494" max="11494" width="11.7109375" style="15" customWidth="1"/>
    <col min="11495" max="11495" width="12" style="15" customWidth="1"/>
    <col min="11496" max="11496" width="11.7109375" style="15" customWidth="1"/>
    <col min="11497" max="11497" width="25.28515625" style="15" customWidth="1"/>
    <col min="11498" max="11498" width="15.28515625" style="15" customWidth="1"/>
    <col min="11499" max="11499" width="14.5703125" style="15" customWidth="1"/>
    <col min="11500" max="11500" width="15.140625" style="15" customWidth="1"/>
    <col min="11501" max="11501" width="21.28515625" style="15" customWidth="1"/>
    <col min="11502" max="11502" width="18.7109375" style="15" customWidth="1"/>
    <col min="11503" max="11503" width="20.85546875" style="15" customWidth="1"/>
    <col min="11504" max="11504" width="20.5703125" style="15" customWidth="1"/>
    <col min="11505" max="11505" width="19.7109375" style="15" customWidth="1"/>
    <col min="11506" max="11506" width="18.28515625" style="15" customWidth="1"/>
    <col min="11507" max="11743" width="9.140625" style="15"/>
    <col min="11744" max="11744" width="7.7109375" style="15" customWidth="1"/>
    <col min="11745" max="11745" width="31.5703125" style="15" customWidth="1"/>
    <col min="11746" max="11746" width="24" style="15" customWidth="1"/>
    <col min="11747" max="11747" width="22.140625" style="15" customWidth="1"/>
    <col min="11748" max="11748" width="21.28515625" style="15" customWidth="1"/>
    <col min="11749" max="11749" width="20.7109375" style="15" customWidth="1"/>
    <col min="11750" max="11750" width="11.7109375" style="15" customWidth="1"/>
    <col min="11751" max="11751" width="12" style="15" customWidth="1"/>
    <col min="11752" max="11752" width="11.7109375" style="15" customWidth="1"/>
    <col min="11753" max="11753" width="25.28515625" style="15" customWidth="1"/>
    <col min="11754" max="11754" width="15.28515625" style="15" customWidth="1"/>
    <col min="11755" max="11755" width="14.5703125" style="15" customWidth="1"/>
    <col min="11756" max="11756" width="15.140625" style="15" customWidth="1"/>
    <col min="11757" max="11757" width="21.28515625" style="15" customWidth="1"/>
    <col min="11758" max="11758" width="18.7109375" style="15" customWidth="1"/>
    <col min="11759" max="11759" width="20.85546875" style="15" customWidth="1"/>
    <col min="11760" max="11760" width="20.5703125" style="15" customWidth="1"/>
    <col min="11761" max="11761" width="19.7109375" style="15" customWidth="1"/>
    <col min="11762" max="11762" width="18.28515625" style="15" customWidth="1"/>
    <col min="11763" max="11999" width="9.140625" style="15"/>
    <col min="12000" max="12000" width="7.7109375" style="15" customWidth="1"/>
    <col min="12001" max="12001" width="31.5703125" style="15" customWidth="1"/>
    <col min="12002" max="12002" width="24" style="15" customWidth="1"/>
    <col min="12003" max="12003" width="22.140625" style="15" customWidth="1"/>
    <col min="12004" max="12004" width="21.28515625" style="15" customWidth="1"/>
    <col min="12005" max="12005" width="20.7109375" style="15" customWidth="1"/>
    <col min="12006" max="12006" width="11.7109375" style="15" customWidth="1"/>
    <col min="12007" max="12007" width="12" style="15" customWidth="1"/>
    <col min="12008" max="12008" width="11.7109375" style="15" customWidth="1"/>
    <col min="12009" max="12009" width="25.28515625" style="15" customWidth="1"/>
    <col min="12010" max="12010" width="15.28515625" style="15" customWidth="1"/>
    <col min="12011" max="12011" width="14.5703125" style="15" customWidth="1"/>
    <col min="12012" max="12012" width="15.140625" style="15" customWidth="1"/>
    <col min="12013" max="12013" width="21.28515625" style="15" customWidth="1"/>
    <col min="12014" max="12014" width="18.7109375" style="15" customWidth="1"/>
    <col min="12015" max="12015" width="20.85546875" style="15" customWidth="1"/>
    <col min="12016" max="12016" width="20.5703125" style="15" customWidth="1"/>
    <col min="12017" max="12017" width="19.7109375" style="15" customWidth="1"/>
    <col min="12018" max="12018" width="18.28515625" style="15" customWidth="1"/>
    <col min="12019" max="12255" width="9.140625" style="15"/>
    <col min="12256" max="12256" width="7.7109375" style="15" customWidth="1"/>
    <col min="12257" max="12257" width="31.5703125" style="15" customWidth="1"/>
    <col min="12258" max="12258" width="24" style="15" customWidth="1"/>
    <col min="12259" max="12259" width="22.140625" style="15" customWidth="1"/>
    <col min="12260" max="12260" width="21.28515625" style="15" customWidth="1"/>
    <col min="12261" max="12261" width="20.7109375" style="15" customWidth="1"/>
    <col min="12262" max="12262" width="11.7109375" style="15" customWidth="1"/>
    <col min="12263" max="12263" width="12" style="15" customWidth="1"/>
    <col min="12264" max="12264" width="11.7109375" style="15" customWidth="1"/>
    <col min="12265" max="12265" width="25.28515625" style="15" customWidth="1"/>
    <col min="12266" max="12266" width="15.28515625" style="15" customWidth="1"/>
    <col min="12267" max="12267" width="14.5703125" style="15" customWidth="1"/>
    <col min="12268" max="12268" width="15.140625" style="15" customWidth="1"/>
    <col min="12269" max="12269" width="21.28515625" style="15" customWidth="1"/>
    <col min="12270" max="12270" width="18.7109375" style="15" customWidth="1"/>
    <col min="12271" max="12271" width="20.85546875" style="15" customWidth="1"/>
    <col min="12272" max="12272" width="20.5703125" style="15" customWidth="1"/>
    <col min="12273" max="12273" width="19.7109375" style="15" customWidth="1"/>
    <col min="12274" max="12274" width="18.28515625" style="15" customWidth="1"/>
    <col min="12275" max="12511" width="9.140625" style="15"/>
    <col min="12512" max="12512" width="7.7109375" style="15" customWidth="1"/>
    <col min="12513" max="12513" width="31.5703125" style="15" customWidth="1"/>
    <col min="12514" max="12514" width="24" style="15" customWidth="1"/>
    <col min="12515" max="12515" width="22.140625" style="15" customWidth="1"/>
    <col min="12516" max="12516" width="21.28515625" style="15" customWidth="1"/>
    <col min="12517" max="12517" width="20.7109375" style="15" customWidth="1"/>
    <col min="12518" max="12518" width="11.7109375" style="15" customWidth="1"/>
    <col min="12519" max="12519" width="12" style="15" customWidth="1"/>
    <col min="12520" max="12520" width="11.7109375" style="15" customWidth="1"/>
    <col min="12521" max="12521" width="25.28515625" style="15" customWidth="1"/>
    <col min="12522" max="12522" width="15.28515625" style="15" customWidth="1"/>
    <col min="12523" max="12523" width="14.5703125" style="15" customWidth="1"/>
    <col min="12524" max="12524" width="15.140625" style="15" customWidth="1"/>
    <col min="12525" max="12525" width="21.28515625" style="15" customWidth="1"/>
    <col min="12526" max="12526" width="18.7109375" style="15" customWidth="1"/>
    <col min="12527" max="12527" width="20.85546875" style="15" customWidth="1"/>
    <col min="12528" max="12528" width="20.5703125" style="15" customWidth="1"/>
    <col min="12529" max="12529" width="19.7109375" style="15" customWidth="1"/>
    <col min="12530" max="12530" width="18.28515625" style="15" customWidth="1"/>
    <col min="12531" max="12767" width="9.140625" style="15"/>
    <col min="12768" max="12768" width="7.7109375" style="15" customWidth="1"/>
    <col min="12769" max="12769" width="31.5703125" style="15" customWidth="1"/>
    <col min="12770" max="12770" width="24" style="15" customWidth="1"/>
    <col min="12771" max="12771" width="22.140625" style="15" customWidth="1"/>
    <col min="12772" max="12772" width="21.28515625" style="15" customWidth="1"/>
    <col min="12773" max="12773" width="20.7109375" style="15" customWidth="1"/>
    <col min="12774" max="12774" width="11.7109375" style="15" customWidth="1"/>
    <col min="12775" max="12775" width="12" style="15" customWidth="1"/>
    <col min="12776" max="12776" width="11.7109375" style="15" customWidth="1"/>
    <col min="12777" max="12777" width="25.28515625" style="15" customWidth="1"/>
    <col min="12778" max="12778" width="15.28515625" style="15" customWidth="1"/>
    <col min="12779" max="12779" width="14.5703125" style="15" customWidth="1"/>
    <col min="12780" max="12780" width="15.140625" style="15" customWidth="1"/>
    <col min="12781" max="12781" width="21.28515625" style="15" customWidth="1"/>
    <col min="12782" max="12782" width="18.7109375" style="15" customWidth="1"/>
    <col min="12783" max="12783" width="20.85546875" style="15" customWidth="1"/>
    <col min="12784" max="12784" width="20.5703125" style="15" customWidth="1"/>
    <col min="12785" max="12785" width="19.7109375" style="15" customWidth="1"/>
    <col min="12786" max="12786" width="18.28515625" style="15" customWidth="1"/>
    <col min="12787" max="13023" width="9.140625" style="15"/>
    <col min="13024" max="13024" width="7.7109375" style="15" customWidth="1"/>
    <col min="13025" max="13025" width="31.5703125" style="15" customWidth="1"/>
    <col min="13026" max="13026" width="24" style="15" customWidth="1"/>
    <col min="13027" max="13027" width="22.140625" style="15" customWidth="1"/>
    <col min="13028" max="13028" width="21.28515625" style="15" customWidth="1"/>
    <col min="13029" max="13029" width="20.7109375" style="15" customWidth="1"/>
    <col min="13030" max="13030" width="11.7109375" style="15" customWidth="1"/>
    <col min="13031" max="13031" width="12" style="15" customWidth="1"/>
    <col min="13032" max="13032" width="11.7109375" style="15" customWidth="1"/>
    <col min="13033" max="13033" width="25.28515625" style="15" customWidth="1"/>
    <col min="13034" max="13034" width="15.28515625" style="15" customWidth="1"/>
    <col min="13035" max="13035" width="14.5703125" style="15" customWidth="1"/>
    <col min="13036" max="13036" width="15.140625" style="15" customWidth="1"/>
    <col min="13037" max="13037" width="21.28515625" style="15" customWidth="1"/>
    <col min="13038" max="13038" width="18.7109375" style="15" customWidth="1"/>
    <col min="13039" max="13039" width="20.85546875" style="15" customWidth="1"/>
    <col min="13040" max="13040" width="20.5703125" style="15" customWidth="1"/>
    <col min="13041" max="13041" width="19.7109375" style="15" customWidth="1"/>
    <col min="13042" max="13042" width="18.28515625" style="15" customWidth="1"/>
    <col min="13043" max="13279" width="9.140625" style="15"/>
    <col min="13280" max="13280" width="7.7109375" style="15" customWidth="1"/>
    <col min="13281" max="13281" width="31.5703125" style="15" customWidth="1"/>
    <col min="13282" max="13282" width="24" style="15" customWidth="1"/>
    <col min="13283" max="13283" width="22.140625" style="15" customWidth="1"/>
    <col min="13284" max="13284" width="21.28515625" style="15" customWidth="1"/>
    <col min="13285" max="13285" width="20.7109375" style="15" customWidth="1"/>
    <col min="13286" max="13286" width="11.7109375" style="15" customWidth="1"/>
    <col min="13287" max="13287" width="12" style="15" customWidth="1"/>
    <col min="13288" max="13288" width="11.7109375" style="15" customWidth="1"/>
    <col min="13289" max="13289" width="25.28515625" style="15" customWidth="1"/>
    <col min="13290" max="13290" width="15.28515625" style="15" customWidth="1"/>
    <col min="13291" max="13291" width="14.5703125" style="15" customWidth="1"/>
    <col min="13292" max="13292" width="15.140625" style="15" customWidth="1"/>
    <col min="13293" max="13293" width="21.28515625" style="15" customWidth="1"/>
    <col min="13294" max="13294" width="18.7109375" style="15" customWidth="1"/>
    <col min="13295" max="13295" width="20.85546875" style="15" customWidth="1"/>
    <col min="13296" max="13296" width="20.5703125" style="15" customWidth="1"/>
    <col min="13297" max="13297" width="19.7109375" style="15" customWidth="1"/>
    <col min="13298" max="13298" width="18.28515625" style="15" customWidth="1"/>
    <col min="13299" max="13535" width="9.140625" style="15"/>
    <col min="13536" max="13536" width="7.7109375" style="15" customWidth="1"/>
    <col min="13537" max="13537" width="31.5703125" style="15" customWidth="1"/>
    <col min="13538" max="13538" width="24" style="15" customWidth="1"/>
    <col min="13539" max="13539" width="22.140625" style="15" customWidth="1"/>
    <col min="13540" max="13540" width="21.28515625" style="15" customWidth="1"/>
    <col min="13541" max="13541" width="20.7109375" style="15" customWidth="1"/>
    <col min="13542" max="13542" width="11.7109375" style="15" customWidth="1"/>
    <col min="13543" max="13543" width="12" style="15" customWidth="1"/>
    <col min="13544" max="13544" width="11.7109375" style="15" customWidth="1"/>
    <col min="13545" max="13545" width="25.28515625" style="15" customWidth="1"/>
    <col min="13546" max="13546" width="15.28515625" style="15" customWidth="1"/>
    <col min="13547" max="13547" width="14.5703125" style="15" customWidth="1"/>
    <col min="13548" max="13548" width="15.140625" style="15" customWidth="1"/>
    <col min="13549" max="13549" width="21.28515625" style="15" customWidth="1"/>
    <col min="13550" max="13550" width="18.7109375" style="15" customWidth="1"/>
    <col min="13551" max="13551" width="20.85546875" style="15" customWidth="1"/>
    <col min="13552" max="13552" width="20.5703125" style="15" customWidth="1"/>
    <col min="13553" max="13553" width="19.7109375" style="15" customWidth="1"/>
    <col min="13554" max="13554" width="18.28515625" style="15" customWidth="1"/>
    <col min="13555" max="13791" width="9.140625" style="15"/>
    <col min="13792" max="13792" width="7.7109375" style="15" customWidth="1"/>
    <col min="13793" max="13793" width="31.5703125" style="15" customWidth="1"/>
    <col min="13794" max="13794" width="24" style="15" customWidth="1"/>
    <col min="13795" max="13795" width="22.140625" style="15" customWidth="1"/>
    <col min="13796" max="13796" width="21.28515625" style="15" customWidth="1"/>
    <col min="13797" max="13797" width="20.7109375" style="15" customWidth="1"/>
    <col min="13798" max="13798" width="11.7109375" style="15" customWidth="1"/>
    <col min="13799" max="13799" width="12" style="15" customWidth="1"/>
    <col min="13800" max="13800" width="11.7109375" style="15" customWidth="1"/>
    <col min="13801" max="13801" width="25.28515625" style="15" customWidth="1"/>
    <col min="13802" max="13802" width="15.28515625" style="15" customWidth="1"/>
    <col min="13803" max="13803" width="14.5703125" style="15" customWidth="1"/>
    <col min="13804" max="13804" width="15.140625" style="15" customWidth="1"/>
    <col min="13805" max="13805" width="21.28515625" style="15" customWidth="1"/>
    <col min="13806" max="13806" width="18.7109375" style="15" customWidth="1"/>
    <col min="13807" max="13807" width="20.85546875" style="15" customWidth="1"/>
    <col min="13808" max="13808" width="20.5703125" style="15" customWidth="1"/>
    <col min="13809" max="13809" width="19.7109375" style="15" customWidth="1"/>
    <col min="13810" max="13810" width="18.28515625" style="15" customWidth="1"/>
    <col min="13811" max="14047" width="9.140625" style="15"/>
    <col min="14048" max="14048" width="7.7109375" style="15" customWidth="1"/>
    <col min="14049" max="14049" width="31.5703125" style="15" customWidth="1"/>
    <col min="14050" max="14050" width="24" style="15" customWidth="1"/>
    <col min="14051" max="14051" width="22.140625" style="15" customWidth="1"/>
    <col min="14052" max="14052" width="21.28515625" style="15" customWidth="1"/>
    <col min="14053" max="14053" width="20.7109375" style="15" customWidth="1"/>
    <col min="14054" max="14054" width="11.7109375" style="15" customWidth="1"/>
    <col min="14055" max="14055" width="12" style="15" customWidth="1"/>
    <col min="14056" max="14056" width="11.7109375" style="15" customWidth="1"/>
    <col min="14057" max="14057" width="25.28515625" style="15" customWidth="1"/>
    <col min="14058" max="14058" width="15.28515625" style="15" customWidth="1"/>
    <col min="14059" max="14059" width="14.5703125" style="15" customWidth="1"/>
    <col min="14060" max="14060" width="15.140625" style="15" customWidth="1"/>
    <col min="14061" max="14061" width="21.28515625" style="15" customWidth="1"/>
    <col min="14062" max="14062" width="18.7109375" style="15" customWidth="1"/>
    <col min="14063" max="14063" width="20.85546875" style="15" customWidth="1"/>
    <col min="14064" max="14064" width="20.5703125" style="15" customWidth="1"/>
    <col min="14065" max="14065" width="19.7109375" style="15" customWidth="1"/>
    <col min="14066" max="14066" width="18.28515625" style="15" customWidth="1"/>
    <col min="14067" max="14303" width="9.140625" style="15"/>
    <col min="14304" max="14304" width="7.7109375" style="15" customWidth="1"/>
    <col min="14305" max="14305" width="31.5703125" style="15" customWidth="1"/>
    <col min="14306" max="14306" width="24" style="15" customWidth="1"/>
    <col min="14307" max="14307" width="22.140625" style="15" customWidth="1"/>
    <col min="14308" max="14308" width="21.28515625" style="15" customWidth="1"/>
    <col min="14309" max="14309" width="20.7109375" style="15" customWidth="1"/>
    <col min="14310" max="14310" width="11.7109375" style="15" customWidth="1"/>
    <col min="14311" max="14311" width="12" style="15" customWidth="1"/>
    <col min="14312" max="14312" width="11.7109375" style="15" customWidth="1"/>
    <col min="14313" max="14313" width="25.28515625" style="15" customWidth="1"/>
    <col min="14314" max="14314" width="15.28515625" style="15" customWidth="1"/>
    <col min="14315" max="14315" width="14.5703125" style="15" customWidth="1"/>
    <col min="14316" max="14316" width="15.140625" style="15" customWidth="1"/>
    <col min="14317" max="14317" width="21.28515625" style="15" customWidth="1"/>
    <col min="14318" max="14318" width="18.7109375" style="15" customWidth="1"/>
    <col min="14319" max="14319" width="20.85546875" style="15" customWidth="1"/>
    <col min="14320" max="14320" width="20.5703125" style="15" customWidth="1"/>
    <col min="14321" max="14321" width="19.7109375" style="15" customWidth="1"/>
    <col min="14322" max="14322" width="18.28515625" style="15" customWidth="1"/>
    <col min="14323" max="14559" width="9.140625" style="15"/>
    <col min="14560" max="14560" width="7.7109375" style="15" customWidth="1"/>
    <col min="14561" max="14561" width="31.5703125" style="15" customWidth="1"/>
    <col min="14562" max="14562" width="24" style="15" customWidth="1"/>
    <col min="14563" max="14563" width="22.140625" style="15" customWidth="1"/>
    <col min="14564" max="14564" width="21.28515625" style="15" customWidth="1"/>
    <col min="14565" max="14565" width="20.7109375" style="15" customWidth="1"/>
    <col min="14566" max="14566" width="11.7109375" style="15" customWidth="1"/>
    <col min="14567" max="14567" width="12" style="15" customWidth="1"/>
    <col min="14568" max="14568" width="11.7109375" style="15" customWidth="1"/>
    <col min="14569" max="14569" width="25.28515625" style="15" customWidth="1"/>
    <col min="14570" max="14570" width="15.28515625" style="15" customWidth="1"/>
    <col min="14571" max="14571" width="14.5703125" style="15" customWidth="1"/>
    <col min="14572" max="14572" width="15.140625" style="15" customWidth="1"/>
    <col min="14573" max="14573" width="21.28515625" style="15" customWidth="1"/>
    <col min="14574" max="14574" width="18.7109375" style="15" customWidth="1"/>
    <col min="14575" max="14575" width="20.85546875" style="15" customWidth="1"/>
    <col min="14576" max="14576" width="20.5703125" style="15" customWidth="1"/>
    <col min="14577" max="14577" width="19.7109375" style="15" customWidth="1"/>
    <col min="14578" max="14578" width="18.28515625" style="15" customWidth="1"/>
    <col min="14579" max="14815" width="9.140625" style="15"/>
    <col min="14816" max="14816" width="7.7109375" style="15" customWidth="1"/>
    <col min="14817" max="14817" width="31.5703125" style="15" customWidth="1"/>
    <col min="14818" max="14818" width="24" style="15" customWidth="1"/>
    <col min="14819" max="14819" width="22.140625" style="15" customWidth="1"/>
    <col min="14820" max="14820" width="21.28515625" style="15" customWidth="1"/>
    <col min="14821" max="14821" width="20.7109375" style="15" customWidth="1"/>
    <col min="14822" max="14822" width="11.7109375" style="15" customWidth="1"/>
    <col min="14823" max="14823" width="12" style="15" customWidth="1"/>
    <col min="14824" max="14824" width="11.7109375" style="15" customWidth="1"/>
    <col min="14825" max="14825" width="25.28515625" style="15" customWidth="1"/>
    <col min="14826" max="14826" width="15.28515625" style="15" customWidth="1"/>
    <col min="14827" max="14827" width="14.5703125" style="15" customWidth="1"/>
    <col min="14828" max="14828" width="15.140625" style="15" customWidth="1"/>
    <col min="14829" max="14829" width="21.28515625" style="15" customWidth="1"/>
    <col min="14830" max="14830" width="18.7109375" style="15" customWidth="1"/>
    <col min="14831" max="14831" width="20.85546875" style="15" customWidth="1"/>
    <col min="14832" max="14832" width="20.5703125" style="15" customWidth="1"/>
    <col min="14833" max="14833" width="19.7109375" style="15" customWidth="1"/>
    <col min="14834" max="14834" width="18.28515625" style="15" customWidth="1"/>
    <col min="14835" max="15071" width="9.140625" style="15"/>
    <col min="15072" max="15072" width="7.7109375" style="15" customWidth="1"/>
    <col min="15073" max="15073" width="31.5703125" style="15" customWidth="1"/>
    <col min="15074" max="15074" width="24" style="15" customWidth="1"/>
    <col min="15075" max="15075" width="22.140625" style="15" customWidth="1"/>
    <col min="15076" max="15076" width="21.28515625" style="15" customWidth="1"/>
    <col min="15077" max="15077" width="20.7109375" style="15" customWidth="1"/>
    <col min="15078" max="15078" width="11.7109375" style="15" customWidth="1"/>
    <col min="15079" max="15079" width="12" style="15" customWidth="1"/>
    <col min="15080" max="15080" width="11.7109375" style="15" customWidth="1"/>
    <col min="15081" max="15081" width="25.28515625" style="15" customWidth="1"/>
    <col min="15082" max="15082" width="15.28515625" style="15" customWidth="1"/>
    <col min="15083" max="15083" width="14.5703125" style="15" customWidth="1"/>
    <col min="15084" max="15084" width="15.140625" style="15" customWidth="1"/>
    <col min="15085" max="15085" width="21.28515625" style="15" customWidth="1"/>
    <col min="15086" max="15086" width="18.7109375" style="15" customWidth="1"/>
    <col min="15087" max="15087" width="20.85546875" style="15" customWidth="1"/>
    <col min="15088" max="15088" width="20.5703125" style="15" customWidth="1"/>
    <col min="15089" max="15089" width="19.7109375" style="15" customWidth="1"/>
    <col min="15090" max="15090" width="18.28515625" style="15" customWidth="1"/>
    <col min="15091" max="15327" width="9.140625" style="15"/>
    <col min="15328" max="15328" width="7.7109375" style="15" customWidth="1"/>
    <col min="15329" max="15329" width="31.5703125" style="15" customWidth="1"/>
    <col min="15330" max="15330" width="24" style="15" customWidth="1"/>
    <col min="15331" max="15331" width="22.140625" style="15" customWidth="1"/>
    <col min="15332" max="15332" width="21.28515625" style="15" customWidth="1"/>
    <col min="15333" max="15333" width="20.7109375" style="15" customWidth="1"/>
    <col min="15334" max="15334" width="11.7109375" style="15" customWidth="1"/>
    <col min="15335" max="15335" width="12" style="15" customWidth="1"/>
    <col min="15336" max="15336" width="11.7109375" style="15" customWidth="1"/>
    <col min="15337" max="15337" width="25.28515625" style="15" customWidth="1"/>
    <col min="15338" max="15338" width="15.28515625" style="15" customWidth="1"/>
    <col min="15339" max="15339" width="14.5703125" style="15" customWidth="1"/>
    <col min="15340" max="15340" width="15.140625" style="15" customWidth="1"/>
    <col min="15341" max="15341" width="21.28515625" style="15" customWidth="1"/>
    <col min="15342" max="15342" width="18.7109375" style="15" customWidth="1"/>
    <col min="15343" max="15343" width="20.85546875" style="15" customWidth="1"/>
    <col min="15344" max="15344" width="20.5703125" style="15" customWidth="1"/>
    <col min="15345" max="15345" width="19.7109375" style="15" customWidth="1"/>
    <col min="15346" max="15346" width="18.28515625" style="15" customWidth="1"/>
    <col min="15347" max="15583" width="9.140625" style="15"/>
    <col min="15584" max="15584" width="7.7109375" style="15" customWidth="1"/>
    <col min="15585" max="15585" width="31.5703125" style="15" customWidth="1"/>
    <col min="15586" max="15586" width="24" style="15" customWidth="1"/>
    <col min="15587" max="15587" width="22.140625" style="15" customWidth="1"/>
    <col min="15588" max="15588" width="21.28515625" style="15" customWidth="1"/>
    <col min="15589" max="15589" width="20.7109375" style="15" customWidth="1"/>
    <col min="15590" max="15590" width="11.7109375" style="15" customWidth="1"/>
    <col min="15591" max="15591" width="12" style="15" customWidth="1"/>
    <col min="15592" max="15592" width="11.7109375" style="15" customWidth="1"/>
    <col min="15593" max="15593" width="25.28515625" style="15" customWidth="1"/>
    <col min="15594" max="15594" width="15.28515625" style="15" customWidth="1"/>
    <col min="15595" max="15595" width="14.5703125" style="15" customWidth="1"/>
    <col min="15596" max="15596" width="15.140625" style="15" customWidth="1"/>
    <col min="15597" max="15597" width="21.28515625" style="15" customWidth="1"/>
    <col min="15598" max="15598" width="18.7109375" style="15" customWidth="1"/>
    <col min="15599" max="15599" width="20.85546875" style="15" customWidth="1"/>
    <col min="15600" max="15600" width="20.5703125" style="15" customWidth="1"/>
    <col min="15601" max="15601" width="19.7109375" style="15" customWidth="1"/>
    <col min="15602" max="15602" width="18.28515625" style="15" customWidth="1"/>
    <col min="15603" max="15839" width="9.140625" style="15"/>
    <col min="15840" max="15840" width="7.7109375" style="15" customWidth="1"/>
    <col min="15841" max="15841" width="31.5703125" style="15" customWidth="1"/>
    <col min="15842" max="15842" width="24" style="15" customWidth="1"/>
    <col min="15843" max="15843" width="22.140625" style="15" customWidth="1"/>
    <col min="15844" max="15844" width="21.28515625" style="15" customWidth="1"/>
    <col min="15845" max="15845" width="20.7109375" style="15" customWidth="1"/>
    <col min="15846" max="15846" width="11.7109375" style="15" customWidth="1"/>
    <col min="15847" max="15847" width="12" style="15" customWidth="1"/>
    <col min="15848" max="15848" width="11.7109375" style="15" customWidth="1"/>
    <col min="15849" max="15849" width="25.28515625" style="15" customWidth="1"/>
    <col min="15850" max="15850" width="15.28515625" style="15" customWidth="1"/>
    <col min="15851" max="15851" width="14.5703125" style="15" customWidth="1"/>
    <col min="15852" max="15852" width="15.140625" style="15" customWidth="1"/>
    <col min="15853" max="15853" width="21.28515625" style="15" customWidth="1"/>
    <col min="15854" max="15854" width="18.7109375" style="15" customWidth="1"/>
    <col min="15855" max="15855" width="20.85546875" style="15" customWidth="1"/>
    <col min="15856" max="15856" width="20.5703125" style="15" customWidth="1"/>
    <col min="15857" max="15857" width="19.7109375" style="15" customWidth="1"/>
    <col min="15858" max="15858" width="18.28515625" style="15" customWidth="1"/>
    <col min="15859" max="16095" width="9.140625" style="15"/>
    <col min="16096" max="16096" width="7.7109375" style="15" customWidth="1"/>
    <col min="16097" max="16097" width="31.5703125" style="15" customWidth="1"/>
    <col min="16098" max="16098" width="24" style="15" customWidth="1"/>
    <col min="16099" max="16099" width="22.140625" style="15" customWidth="1"/>
    <col min="16100" max="16100" width="21.28515625" style="15" customWidth="1"/>
    <col min="16101" max="16101" width="20.7109375" style="15" customWidth="1"/>
    <col min="16102" max="16102" width="11.7109375" style="15" customWidth="1"/>
    <col min="16103" max="16103" width="12" style="15" customWidth="1"/>
    <col min="16104" max="16104" width="11.7109375" style="15" customWidth="1"/>
    <col min="16105" max="16105" width="25.28515625" style="15" customWidth="1"/>
    <col min="16106" max="16106" width="15.28515625" style="15" customWidth="1"/>
    <col min="16107" max="16107" width="14.5703125" style="15" customWidth="1"/>
    <col min="16108" max="16108" width="15.140625" style="15" customWidth="1"/>
    <col min="16109" max="16109" width="21.28515625" style="15" customWidth="1"/>
    <col min="16110" max="16110" width="18.7109375" style="15" customWidth="1"/>
    <col min="16111" max="16111" width="20.85546875" style="15" customWidth="1"/>
    <col min="16112" max="16112" width="20.5703125" style="15" customWidth="1"/>
    <col min="16113" max="16113" width="19.7109375" style="15" customWidth="1"/>
    <col min="16114" max="16114" width="18.28515625" style="15" customWidth="1"/>
    <col min="16115" max="16384" width="9.140625" style="15"/>
  </cols>
  <sheetData>
    <row r="1" spans="1:17" ht="48" customHeight="1" x14ac:dyDescent="0.25">
      <c r="A1" s="48" t="s">
        <v>44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18.75" customHeight="1" x14ac:dyDescent="0.25">
      <c r="A2" s="49" t="s">
        <v>0</v>
      </c>
      <c r="B2" s="49" t="s">
        <v>1</v>
      </c>
      <c r="C2" s="46" t="s">
        <v>42</v>
      </c>
      <c r="D2" s="46" t="s">
        <v>2</v>
      </c>
      <c r="E2" s="46" t="s">
        <v>3</v>
      </c>
      <c r="F2" s="46" t="s">
        <v>43</v>
      </c>
      <c r="G2" s="46"/>
      <c r="H2" s="46"/>
      <c r="I2" s="46" t="s">
        <v>4</v>
      </c>
      <c r="J2" s="46" t="s">
        <v>5</v>
      </c>
      <c r="K2" s="46"/>
      <c r="L2" s="46"/>
      <c r="M2" s="46" t="s">
        <v>6</v>
      </c>
      <c r="N2" s="46" t="s">
        <v>7</v>
      </c>
      <c r="O2" s="45" t="s">
        <v>8</v>
      </c>
      <c r="P2" s="45" t="s">
        <v>9</v>
      </c>
      <c r="Q2" s="45" t="s">
        <v>10</v>
      </c>
    </row>
    <row r="3" spans="1:17" ht="82.5" customHeight="1" x14ac:dyDescent="0.25">
      <c r="A3" s="49"/>
      <c r="B3" s="49"/>
      <c r="C3" s="46"/>
      <c r="D3" s="46"/>
      <c r="E3" s="46"/>
      <c r="F3" s="21" t="s">
        <v>11</v>
      </c>
      <c r="G3" s="21" t="s">
        <v>12</v>
      </c>
      <c r="H3" s="21" t="s">
        <v>13</v>
      </c>
      <c r="I3" s="46"/>
      <c r="J3" s="22">
        <v>0.2</v>
      </c>
      <c r="K3" s="22">
        <v>0.5</v>
      </c>
      <c r="L3" s="22">
        <v>0.7</v>
      </c>
      <c r="M3" s="46"/>
      <c r="N3" s="46"/>
      <c r="O3" s="45"/>
      <c r="P3" s="45"/>
      <c r="Q3" s="45"/>
    </row>
    <row r="4" spans="1:17" ht="12.75" customHeight="1" x14ac:dyDescent="0.25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21">
        <v>6</v>
      </c>
      <c r="G4" s="21">
        <v>7</v>
      </c>
      <c r="H4" s="21">
        <v>8</v>
      </c>
      <c r="I4" s="23">
        <v>9</v>
      </c>
      <c r="J4" s="23">
        <v>10</v>
      </c>
      <c r="K4" s="23">
        <v>11</v>
      </c>
      <c r="L4" s="23">
        <v>12</v>
      </c>
      <c r="M4" s="23">
        <v>13</v>
      </c>
      <c r="N4" s="23">
        <v>14</v>
      </c>
      <c r="O4" s="11">
        <v>15</v>
      </c>
      <c r="P4" s="11">
        <v>16</v>
      </c>
      <c r="Q4" s="11">
        <v>17</v>
      </c>
    </row>
    <row r="5" spans="1:17" s="16" customFormat="1" x14ac:dyDescent="0.2">
      <c r="A5" s="24">
        <v>1</v>
      </c>
      <c r="B5" s="25" t="s">
        <v>14</v>
      </c>
      <c r="C5" s="26">
        <f>C6+C7</f>
        <v>26</v>
      </c>
      <c r="D5" s="26">
        <f t="shared" ref="D5" si="0">D6+D7</f>
        <v>7910</v>
      </c>
      <c r="E5" s="26">
        <f>E6+E7</f>
        <v>7906</v>
      </c>
      <c r="F5" s="26">
        <f>F6+F7</f>
        <v>3399</v>
      </c>
      <c r="G5" s="26">
        <f t="shared" ref="G5:H5" si="1">G6+G7</f>
        <v>3558</v>
      </c>
      <c r="H5" s="26">
        <f t="shared" si="1"/>
        <v>949</v>
      </c>
      <c r="I5" s="26"/>
      <c r="J5" s="27">
        <f>J6+J7</f>
        <v>1922278</v>
      </c>
      <c r="K5" s="27">
        <f t="shared" ref="K5:N5" si="2">K6+K7</f>
        <v>4976726</v>
      </c>
      <c r="L5" s="27">
        <f t="shared" si="2"/>
        <v>1895349.4</v>
      </c>
      <c r="M5" s="27">
        <f t="shared" si="2"/>
        <v>8794353.4000000004</v>
      </c>
      <c r="N5" s="27">
        <f t="shared" si="2"/>
        <v>79155</v>
      </c>
      <c r="O5" s="37"/>
      <c r="P5" s="27">
        <f t="shared" ref="P5:Q5" si="3">P6+P7</f>
        <v>4912</v>
      </c>
      <c r="Q5" s="27">
        <f t="shared" si="3"/>
        <v>84067</v>
      </c>
    </row>
    <row r="6" spans="1:17" x14ac:dyDescent="0.25">
      <c r="A6" s="23"/>
      <c r="B6" s="28" t="s">
        <v>15</v>
      </c>
      <c r="C6" s="21">
        <v>22</v>
      </c>
      <c r="D6" s="21">
        <f>7055-197</f>
        <v>6858</v>
      </c>
      <c r="E6" s="21">
        <f>F6+G6+H6</f>
        <v>6854</v>
      </c>
      <c r="F6" s="29">
        <f>3099-110</f>
        <v>2989</v>
      </c>
      <c r="G6" s="29">
        <v>3002</v>
      </c>
      <c r="H6" s="29">
        <v>863</v>
      </c>
      <c r="I6" s="21">
        <v>2930</v>
      </c>
      <c r="J6" s="30">
        <f t="shared" ref="J6:J7" si="4">(I6*F6*0.2)</f>
        <v>1751554</v>
      </c>
      <c r="K6" s="30">
        <f t="shared" ref="K6:K7" si="5">(I6*G6*0.5)</f>
        <v>4397930</v>
      </c>
      <c r="L6" s="30">
        <f t="shared" ref="L6:L7" si="6">(I6*H6*0.7)</f>
        <v>1770013</v>
      </c>
      <c r="M6" s="30">
        <f>J6+K6+L6</f>
        <v>7919497</v>
      </c>
      <c r="N6" s="30">
        <f>ROUND((M6*9/1000),0)+6</f>
        <v>71281</v>
      </c>
      <c r="O6" s="30">
        <v>621</v>
      </c>
      <c r="P6" s="30">
        <f>ROUND(D6*O6/1000,0)</f>
        <v>4259</v>
      </c>
      <c r="Q6" s="30">
        <f>N6+P6</f>
        <v>75540</v>
      </c>
    </row>
    <row r="7" spans="1:17" x14ac:dyDescent="0.25">
      <c r="A7" s="23"/>
      <c r="B7" s="28" t="s">
        <v>16</v>
      </c>
      <c r="C7" s="21">
        <v>4</v>
      </c>
      <c r="D7" s="21">
        <v>1052</v>
      </c>
      <c r="E7" s="21">
        <f>F7+G7+H7</f>
        <v>1052</v>
      </c>
      <c r="F7" s="29">
        <f>213+197</f>
        <v>410</v>
      </c>
      <c r="G7" s="29">
        <v>556</v>
      </c>
      <c r="H7" s="29">
        <v>86</v>
      </c>
      <c r="I7" s="21">
        <v>2082</v>
      </c>
      <c r="J7" s="30">
        <f t="shared" si="4"/>
        <v>170724</v>
      </c>
      <c r="K7" s="30">
        <f t="shared" si="5"/>
        <v>578796</v>
      </c>
      <c r="L7" s="30">
        <f t="shared" si="6"/>
        <v>125336.4</v>
      </c>
      <c r="M7" s="30">
        <f>J7+K7+L7</f>
        <v>874856.4</v>
      </c>
      <c r="N7" s="30">
        <f>ROUND((M7*9/1000),0)</f>
        <v>7874</v>
      </c>
      <c r="O7" s="30">
        <v>621</v>
      </c>
      <c r="P7" s="30">
        <f>ROUND(D7*O7/1000,0)</f>
        <v>653</v>
      </c>
      <c r="Q7" s="30">
        <f>N7+P7</f>
        <v>8527</v>
      </c>
    </row>
    <row r="8" spans="1:17" s="16" customFormat="1" x14ac:dyDescent="0.2">
      <c r="A8" s="24">
        <v>2</v>
      </c>
      <c r="B8" s="25" t="s">
        <v>17</v>
      </c>
      <c r="C8" s="26">
        <f>C9+C10</f>
        <v>58</v>
      </c>
      <c r="D8" s="26">
        <f t="shared" ref="D8" si="7">D9+D10</f>
        <v>32099</v>
      </c>
      <c r="E8" s="26">
        <f>E9+E10</f>
        <v>28302</v>
      </c>
      <c r="F8" s="26">
        <f>F9+F10</f>
        <v>13328</v>
      </c>
      <c r="G8" s="26">
        <f t="shared" ref="G8:H8" si="8">G9+G10</f>
        <v>11544</v>
      </c>
      <c r="H8" s="26">
        <f t="shared" si="8"/>
        <v>3430</v>
      </c>
      <c r="I8" s="31"/>
      <c r="J8" s="27">
        <f>J9+J10</f>
        <v>6798789.6000000006</v>
      </c>
      <c r="K8" s="27">
        <f t="shared" ref="K8:N8" si="9">K9+K10</f>
        <v>14720928</v>
      </c>
      <c r="L8" s="27">
        <f t="shared" si="9"/>
        <v>6148430.3999999994</v>
      </c>
      <c r="M8" s="27">
        <f t="shared" si="9"/>
        <v>27668148.000000004</v>
      </c>
      <c r="N8" s="27">
        <f t="shared" si="9"/>
        <v>249013</v>
      </c>
      <c r="O8" s="37"/>
      <c r="P8" s="27">
        <f t="shared" ref="P8:Q8" si="10">P9+P10</f>
        <v>19934</v>
      </c>
      <c r="Q8" s="27">
        <f t="shared" si="10"/>
        <v>268947</v>
      </c>
    </row>
    <row r="9" spans="1:17" x14ac:dyDescent="0.25">
      <c r="A9" s="23"/>
      <c r="B9" s="28" t="s">
        <v>15</v>
      </c>
      <c r="C9" s="21">
        <v>52</v>
      </c>
      <c r="D9" s="21">
        <v>30703</v>
      </c>
      <c r="E9" s="21">
        <f>F9+G9+H9</f>
        <v>27468</v>
      </c>
      <c r="F9" s="29">
        <f>12903</f>
        <v>12903</v>
      </c>
      <c r="G9" s="29">
        <f>11172</f>
        <v>11172</v>
      </c>
      <c r="H9" s="29">
        <f>3249+144</f>
        <v>3393</v>
      </c>
      <c r="I9" s="21">
        <v>2566</v>
      </c>
      <c r="J9" s="30">
        <f t="shared" ref="J9:J10" si="11">(I9*F9*0.2)</f>
        <v>6621819.6000000006</v>
      </c>
      <c r="K9" s="30">
        <f t="shared" ref="K9:K10" si="12">(I9*G9*0.5)</f>
        <v>14333676</v>
      </c>
      <c r="L9" s="30">
        <f t="shared" ref="L9:L10" si="13">(I9*H9*0.7)</f>
        <v>6094506.5999999996</v>
      </c>
      <c r="M9" s="30">
        <f t="shared" ref="M9:M10" si="14">J9+K9+L9</f>
        <v>27050002.200000003</v>
      </c>
      <c r="N9" s="30">
        <f t="shared" ref="N9:N10" si="15">ROUND((M9*9/1000),0)</f>
        <v>243450</v>
      </c>
      <c r="O9" s="30">
        <v>621</v>
      </c>
      <c r="P9" s="30">
        <f>ROUND(D9*O9/1000,0)</f>
        <v>19067</v>
      </c>
      <c r="Q9" s="30">
        <f t="shared" ref="Q9:Q10" si="16">N9+P9</f>
        <v>262517</v>
      </c>
    </row>
    <row r="10" spans="1:17" x14ac:dyDescent="0.25">
      <c r="A10" s="23"/>
      <c r="B10" s="28" t="s">
        <v>16</v>
      </c>
      <c r="C10" s="21">
        <v>6</v>
      </c>
      <c r="D10" s="21">
        <v>1396</v>
      </c>
      <c r="E10" s="21">
        <f>F10+G10+H10</f>
        <v>834</v>
      </c>
      <c r="F10" s="29">
        <v>425</v>
      </c>
      <c r="G10" s="29">
        <v>372</v>
      </c>
      <c r="H10" s="29">
        <v>37</v>
      </c>
      <c r="I10" s="21">
        <v>2082</v>
      </c>
      <c r="J10" s="30">
        <f t="shared" si="11"/>
        <v>176970</v>
      </c>
      <c r="K10" s="30">
        <f t="shared" si="12"/>
        <v>387252</v>
      </c>
      <c r="L10" s="30">
        <f t="shared" si="13"/>
        <v>53923.799999999996</v>
      </c>
      <c r="M10" s="30">
        <f t="shared" si="14"/>
        <v>618145.80000000005</v>
      </c>
      <c r="N10" s="30">
        <f t="shared" si="15"/>
        <v>5563</v>
      </c>
      <c r="O10" s="30">
        <v>621</v>
      </c>
      <c r="P10" s="30">
        <f>ROUND(D10*O10/1000,0)</f>
        <v>867</v>
      </c>
      <c r="Q10" s="30">
        <f t="shared" si="16"/>
        <v>6430</v>
      </c>
    </row>
    <row r="11" spans="1:17" s="16" customFormat="1" x14ac:dyDescent="0.2">
      <c r="A11" s="24">
        <v>3</v>
      </c>
      <c r="B11" s="25" t="s">
        <v>18</v>
      </c>
      <c r="C11" s="31">
        <f>C12+C13</f>
        <v>20</v>
      </c>
      <c r="D11" s="31">
        <f t="shared" ref="D11" si="17">D12+D13</f>
        <v>9128</v>
      </c>
      <c r="E11" s="31">
        <f t="shared" ref="E11" si="18">E12+E13</f>
        <v>7046</v>
      </c>
      <c r="F11" s="31">
        <f>F12+F13</f>
        <v>3757</v>
      </c>
      <c r="G11" s="31">
        <f t="shared" ref="G11:H11" si="19">G12+G13</f>
        <v>2456</v>
      </c>
      <c r="H11" s="31">
        <f t="shared" si="19"/>
        <v>833</v>
      </c>
      <c r="I11" s="31"/>
      <c r="J11" s="27">
        <f>J12+J13</f>
        <v>3344967.0000000005</v>
      </c>
      <c r="K11" s="27">
        <f t="shared" ref="K11:N11" si="20">K12+K13</f>
        <v>5429173.5</v>
      </c>
      <c r="L11" s="27">
        <f t="shared" si="20"/>
        <v>2593315.2000000002</v>
      </c>
      <c r="M11" s="27">
        <f t="shared" si="20"/>
        <v>11367455.700000001</v>
      </c>
      <c r="N11" s="27">
        <f t="shared" si="20"/>
        <v>102307</v>
      </c>
      <c r="O11" s="32"/>
      <c r="P11" s="27">
        <f t="shared" ref="P11:Q11" si="21">P12+P13</f>
        <v>5669</v>
      </c>
      <c r="Q11" s="27">
        <f t="shared" si="21"/>
        <v>107976</v>
      </c>
    </row>
    <row r="12" spans="1:17" x14ac:dyDescent="0.25">
      <c r="A12" s="23"/>
      <c r="B12" s="28" t="s">
        <v>15</v>
      </c>
      <c r="C12" s="21">
        <v>16</v>
      </c>
      <c r="D12" s="21">
        <v>8576</v>
      </c>
      <c r="E12" s="21">
        <f t="shared" ref="E12:E16" si="22">F12+G12+H12</f>
        <v>6494</v>
      </c>
      <c r="F12" s="29">
        <v>3479</v>
      </c>
      <c r="G12" s="29">
        <v>2245</v>
      </c>
      <c r="H12" s="29">
        <v>770</v>
      </c>
      <c r="I12" s="21">
        <v>4641</v>
      </c>
      <c r="J12" s="30">
        <f t="shared" ref="J12:J13" si="23">(I12*F12*0.2)</f>
        <v>3229207.8000000003</v>
      </c>
      <c r="K12" s="30">
        <f t="shared" ref="K12:K13" si="24">(I12*G12*0.5)</f>
        <v>5209522.5</v>
      </c>
      <c r="L12" s="30">
        <f t="shared" ref="L12:L13" si="25">(I12*H12*0.7)</f>
        <v>2501499</v>
      </c>
      <c r="M12" s="30">
        <f t="shared" ref="M12:M13" si="26">J12+K12+L12</f>
        <v>10940229.300000001</v>
      </c>
      <c r="N12" s="30">
        <f t="shared" ref="N12:N13" si="27">ROUND((M12*9/1000),0)</f>
        <v>98462</v>
      </c>
      <c r="O12" s="30">
        <v>621</v>
      </c>
      <c r="P12" s="30">
        <f>ROUND(D12*O12/1000,0)</f>
        <v>5326</v>
      </c>
      <c r="Q12" s="30">
        <f t="shared" ref="Q12:Q13" si="28">N12+P12</f>
        <v>103788</v>
      </c>
    </row>
    <row r="13" spans="1:17" x14ac:dyDescent="0.25">
      <c r="A13" s="23"/>
      <c r="B13" s="28" t="s">
        <v>16</v>
      </c>
      <c r="C13" s="21">
        <v>4</v>
      </c>
      <c r="D13" s="21">
        <v>552</v>
      </c>
      <c r="E13" s="21">
        <f t="shared" si="22"/>
        <v>552</v>
      </c>
      <c r="F13" s="21">
        <v>278</v>
      </c>
      <c r="G13" s="21">
        <v>211</v>
      </c>
      <c r="H13" s="29">
        <v>63</v>
      </c>
      <c r="I13" s="21">
        <v>2082</v>
      </c>
      <c r="J13" s="30">
        <f t="shared" si="23"/>
        <v>115759.20000000001</v>
      </c>
      <c r="K13" s="30">
        <f t="shared" si="24"/>
        <v>219651</v>
      </c>
      <c r="L13" s="30">
        <f t="shared" si="25"/>
        <v>91816.2</v>
      </c>
      <c r="M13" s="30">
        <f t="shared" si="26"/>
        <v>427226.4</v>
      </c>
      <c r="N13" s="30">
        <f t="shared" si="27"/>
        <v>3845</v>
      </c>
      <c r="O13" s="30">
        <v>621</v>
      </c>
      <c r="P13" s="30">
        <f>ROUND(D13*O13/1000,0)</f>
        <v>343</v>
      </c>
      <c r="Q13" s="30">
        <f t="shared" si="28"/>
        <v>4188</v>
      </c>
    </row>
    <row r="14" spans="1:17" s="16" customFormat="1" x14ac:dyDescent="0.2">
      <c r="A14" s="24">
        <v>4</v>
      </c>
      <c r="B14" s="25" t="s">
        <v>19</v>
      </c>
      <c r="C14" s="31">
        <f>C15+C16</f>
        <v>49</v>
      </c>
      <c r="D14" s="31">
        <f t="shared" ref="D14" si="29">D15+D16</f>
        <v>19700</v>
      </c>
      <c r="E14" s="31">
        <f t="shared" ref="E14" si="30">E15+E16</f>
        <v>19340</v>
      </c>
      <c r="F14" s="31">
        <f>F15+F16</f>
        <v>8145</v>
      </c>
      <c r="G14" s="31">
        <f t="shared" ref="G14:H14" si="31">G15+G16</f>
        <v>7988</v>
      </c>
      <c r="H14" s="31">
        <f t="shared" si="31"/>
        <v>3207</v>
      </c>
      <c r="I14" s="31"/>
      <c r="J14" s="27">
        <f>J15+J16</f>
        <v>5372378</v>
      </c>
      <c r="K14" s="27">
        <f t="shared" ref="K14:N14" si="32">K15+K16</f>
        <v>13200656</v>
      </c>
      <c r="L14" s="27">
        <f t="shared" si="32"/>
        <v>7444401.9999999991</v>
      </c>
      <c r="M14" s="27">
        <f t="shared" si="32"/>
        <v>26017436</v>
      </c>
      <c r="N14" s="27">
        <f t="shared" si="32"/>
        <v>234157</v>
      </c>
      <c r="O14" s="32"/>
      <c r="P14" s="27">
        <f t="shared" ref="P14:Q14" si="33">P15+P16</f>
        <v>12234</v>
      </c>
      <c r="Q14" s="27">
        <f t="shared" si="33"/>
        <v>246391</v>
      </c>
    </row>
    <row r="15" spans="1:17" x14ac:dyDescent="0.25">
      <c r="A15" s="23"/>
      <c r="B15" s="28" t="s">
        <v>15</v>
      </c>
      <c r="C15" s="21">
        <v>44</v>
      </c>
      <c r="D15" s="21">
        <v>19449</v>
      </c>
      <c r="E15" s="21">
        <f t="shared" si="22"/>
        <v>19089</v>
      </c>
      <c r="F15" s="29">
        <v>8000</v>
      </c>
      <c r="G15" s="29">
        <v>7892</v>
      </c>
      <c r="H15" s="29">
        <v>3197</v>
      </c>
      <c r="I15" s="21">
        <v>3320</v>
      </c>
      <c r="J15" s="30">
        <f t="shared" ref="J15:J16" si="34">(I15*F15*0.2)</f>
        <v>5312000</v>
      </c>
      <c r="K15" s="30">
        <f t="shared" ref="K15:K16" si="35">(I15*G15*0.5)</f>
        <v>13100720</v>
      </c>
      <c r="L15" s="30">
        <f t="shared" ref="L15:L16" si="36">(I15*H15*0.7)</f>
        <v>7429827.9999999991</v>
      </c>
      <c r="M15" s="30">
        <f t="shared" ref="M15:M16" si="37">J15+K15+L15</f>
        <v>25842548</v>
      </c>
      <c r="N15" s="30">
        <f t="shared" ref="N15:N16" si="38">ROUND((M15*9/1000),0)</f>
        <v>232583</v>
      </c>
      <c r="O15" s="30">
        <v>621</v>
      </c>
      <c r="P15" s="30">
        <f>ROUND(D15*O15/1000,0)</f>
        <v>12078</v>
      </c>
      <c r="Q15" s="30">
        <f t="shared" ref="Q15:Q16" si="39">N15+P15</f>
        <v>244661</v>
      </c>
    </row>
    <row r="16" spans="1:17" x14ac:dyDescent="0.25">
      <c r="A16" s="23"/>
      <c r="B16" s="28" t="s">
        <v>16</v>
      </c>
      <c r="C16" s="21">
        <v>5</v>
      </c>
      <c r="D16" s="21">
        <v>251</v>
      </c>
      <c r="E16" s="21">
        <f t="shared" si="22"/>
        <v>251</v>
      </c>
      <c r="F16" s="21">
        <v>145</v>
      </c>
      <c r="G16" s="21">
        <v>96</v>
      </c>
      <c r="H16" s="29">
        <v>10</v>
      </c>
      <c r="I16" s="21">
        <v>2082</v>
      </c>
      <c r="J16" s="30">
        <f t="shared" si="34"/>
        <v>60378</v>
      </c>
      <c r="K16" s="30">
        <f t="shared" si="35"/>
        <v>99936</v>
      </c>
      <c r="L16" s="30">
        <f t="shared" si="36"/>
        <v>14573.999999999998</v>
      </c>
      <c r="M16" s="30">
        <f t="shared" si="37"/>
        <v>174888</v>
      </c>
      <c r="N16" s="30">
        <f t="shared" si="38"/>
        <v>1574</v>
      </c>
      <c r="O16" s="30">
        <v>621</v>
      </c>
      <c r="P16" s="30">
        <f>ROUND(D16*O16/1000,0)</f>
        <v>156</v>
      </c>
      <c r="Q16" s="30">
        <f t="shared" si="39"/>
        <v>1730</v>
      </c>
    </row>
    <row r="17" spans="1:56" s="16" customFormat="1" x14ac:dyDescent="0.2">
      <c r="A17" s="24">
        <v>5</v>
      </c>
      <c r="B17" s="25" t="s">
        <v>20</v>
      </c>
      <c r="C17" s="31">
        <f>C18+C19</f>
        <v>18</v>
      </c>
      <c r="D17" s="31">
        <f t="shared" ref="D17" si="40">D18+D19</f>
        <v>3794</v>
      </c>
      <c r="E17" s="31">
        <f t="shared" ref="E17" si="41">E18+E19</f>
        <v>3763</v>
      </c>
      <c r="F17" s="31">
        <f>F18+F19</f>
        <v>1492</v>
      </c>
      <c r="G17" s="31">
        <f t="shared" ref="G17:H17" si="42">G18+G19</f>
        <v>1618</v>
      </c>
      <c r="H17" s="31">
        <f t="shared" si="42"/>
        <v>653</v>
      </c>
      <c r="I17" s="31"/>
      <c r="J17" s="32">
        <f t="shared" ref="J17:N17" si="43">J18+J19</f>
        <v>1081800</v>
      </c>
      <c r="K17" s="32">
        <f t="shared" si="43"/>
        <v>2985210</v>
      </c>
      <c r="L17" s="32">
        <f t="shared" si="43"/>
        <v>1686699</v>
      </c>
      <c r="M17" s="32">
        <f t="shared" si="43"/>
        <v>5753709</v>
      </c>
      <c r="N17" s="32">
        <f t="shared" si="43"/>
        <v>51784</v>
      </c>
      <c r="O17" s="32"/>
      <c r="P17" s="32">
        <f t="shared" ref="P17:Q17" si="44">P18+P19</f>
        <v>2356</v>
      </c>
      <c r="Q17" s="32">
        <f t="shared" si="44"/>
        <v>54140</v>
      </c>
    </row>
    <row r="18" spans="1:56" x14ac:dyDescent="0.25">
      <c r="A18" s="23"/>
      <c r="B18" s="28" t="s">
        <v>15</v>
      </c>
      <c r="C18" s="21">
        <v>17</v>
      </c>
      <c r="D18" s="21">
        <v>3734</v>
      </c>
      <c r="E18" s="21">
        <f t="shared" ref="E18:E19" si="45">F18+G18+H18</f>
        <v>3703</v>
      </c>
      <c r="F18" s="29">
        <v>1432</v>
      </c>
      <c r="G18" s="29">
        <v>1618</v>
      </c>
      <c r="H18" s="29">
        <v>653</v>
      </c>
      <c r="I18" s="21">
        <v>3690</v>
      </c>
      <c r="J18" s="30">
        <f t="shared" ref="J18:J19" si="46">(I18*F18*0.2)</f>
        <v>1056816</v>
      </c>
      <c r="K18" s="30">
        <f t="shared" ref="K18:K19" si="47">(I18*G18*0.5)</f>
        <v>2985210</v>
      </c>
      <c r="L18" s="30">
        <f t="shared" ref="L18:L19" si="48">(I18*H18*0.7)</f>
        <v>1686699</v>
      </c>
      <c r="M18" s="30">
        <f t="shared" ref="M18:M19" si="49">J18+K18+L18</f>
        <v>5728725</v>
      </c>
      <c r="N18" s="30">
        <f t="shared" ref="N18:N19" si="50">ROUND((M18*9/1000),0)</f>
        <v>51559</v>
      </c>
      <c r="O18" s="30">
        <v>621</v>
      </c>
      <c r="P18" s="30">
        <f>ROUND(D18*O18/1000,0)</f>
        <v>2319</v>
      </c>
      <c r="Q18" s="30">
        <f t="shared" ref="Q18:Q19" si="51">N18+P18</f>
        <v>53878</v>
      </c>
    </row>
    <row r="19" spans="1:56" x14ac:dyDescent="0.25">
      <c r="A19" s="23"/>
      <c r="B19" s="28" t="s">
        <v>16</v>
      </c>
      <c r="C19" s="21">
        <v>1</v>
      </c>
      <c r="D19" s="21">
        <v>60</v>
      </c>
      <c r="E19" s="21">
        <f t="shared" si="45"/>
        <v>60</v>
      </c>
      <c r="F19" s="21">
        <v>60</v>
      </c>
      <c r="G19" s="21">
        <v>0</v>
      </c>
      <c r="H19" s="29">
        <v>0</v>
      </c>
      <c r="I19" s="21">
        <v>2082</v>
      </c>
      <c r="J19" s="30">
        <f t="shared" si="46"/>
        <v>24984</v>
      </c>
      <c r="K19" s="30">
        <f t="shared" si="47"/>
        <v>0</v>
      </c>
      <c r="L19" s="30">
        <f t="shared" si="48"/>
        <v>0</v>
      </c>
      <c r="M19" s="30">
        <f t="shared" si="49"/>
        <v>24984</v>
      </c>
      <c r="N19" s="30">
        <f t="shared" si="50"/>
        <v>225</v>
      </c>
      <c r="O19" s="30">
        <v>621</v>
      </c>
      <c r="P19" s="30">
        <f>ROUND(D19*O19/1000,0)</f>
        <v>37</v>
      </c>
      <c r="Q19" s="30">
        <f t="shared" si="51"/>
        <v>262</v>
      </c>
    </row>
    <row r="20" spans="1:56" s="16" customFormat="1" x14ac:dyDescent="0.2">
      <c r="A20" s="24">
        <v>6</v>
      </c>
      <c r="B20" s="25" t="s">
        <v>21</v>
      </c>
      <c r="C20" s="31">
        <f>C21+C22</f>
        <v>8</v>
      </c>
      <c r="D20" s="31">
        <f t="shared" ref="D20" si="52">D21+D22</f>
        <v>2744</v>
      </c>
      <c r="E20" s="31">
        <f t="shared" ref="E20" si="53">E21+E22</f>
        <v>2699</v>
      </c>
      <c r="F20" s="31">
        <f>F21+F22</f>
        <v>1057</v>
      </c>
      <c r="G20" s="31">
        <f t="shared" ref="G20:H20" si="54">G21+G22</f>
        <v>1255</v>
      </c>
      <c r="H20" s="31">
        <f t="shared" si="54"/>
        <v>387</v>
      </c>
      <c r="I20" s="31"/>
      <c r="J20" s="27">
        <f>J21+J22</f>
        <v>820232</v>
      </c>
      <c r="K20" s="27">
        <f t="shared" ref="K20:N20" si="55">K21+K22</f>
        <v>2434700</v>
      </c>
      <c r="L20" s="27">
        <f t="shared" si="55"/>
        <v>1051092</v>
      </c>
      <c r="M20" s="27">
        <f t="shared" si="55"/>
        <v>4306024</v>
      </c>
      <c r="N20" s="27">
        <f t="shared" si="55"/>
        <v>38754</v>
      </c>
      <c r="O20" s="32"/>
      <c r="P20" s="27">
        <f t="shared" ref="P20:Q20" si="56">P21+P22</f>
        <v>1704</v>
      </c>
      <c r="Q20" s="27">
        <f t="shared" si="56"/>
        <v>40458</v>
      </c>
    </row>
    <row r="21" spans="1:56" x14ac:dyDescent="0.25">
      <c r="A21" s="23"/>
      <c r="B21" s="28" t="s">
        <v>15</v>
      </c>
      <c r="C21" s="21">
        <v>8</v>
      </c>
      <c r="D21" s="21">
        <v>2744</v>
      </c>
      <c r="E21" s="21">
        <f>F21+G21+H21</f>
        <v>2699</v>
      </c>
      <c r="F21" s="29">
        <v>1057</v>
      </c>
      <c r="G21" s="29">
        <v>1255</v>
      </c>
      <c r="H21" s="29">
        <v>387</v>
      </c>
      <c r="I21" s="21">
        <v>3880</v>
      </c>
      <c r="J21" s="30">
        <f>(I21*F21*0.2)</f>
        <v>820232</v>
      </c>
      <c r="K21" s="30">
        <f>(I21*G21*0.5)</f>
        <v>2434700</v>
      </c>
      <c r="L21" s="30">
        <f>(I21*H21*0.7)</f>
        <v>1051092</v>
      </c>
      <c r="M21" s="30">
        <f>J21+K21+L21</f>
        <v>4306024</v>
      </c>
      <c r="N21" s="30">
        <f>ROUND((M21*9/1000),0)</f>
        <v>38754</v>
      </c>
      <c r="O21" s="30">
        <v>621</v>
      </c>
      <c r="P21" s="30">
        <f>ROUND(D21*O21/1000,0)</f>
        <v>1704</v>
      </c>
      <c r="Q21" s="30">
        <f>N21+P21</f>
        <v>40458</v>
      </c>
    </row>
    <row r="22" spans="1:56" x14ac:dyDescent="0.25">
      <c r="A22" s="23"/>
      <c r="B22" s="28" t="s">
        <v>16</v>
      </c>
      <c r="C22" s="21"/>
      <c r="D22" s="21"/>
      <c r="E22" s="21"/>
      <c r="F22" s="21"/>
      <c r="G22" s="21"/>
      <c r="H22" s="29"/>
      <c r="I22" s="21"/>
      <c r="J22" s="30"/>
      <c r="K22" s="30"/>
      <c r="L22" s="30"/>
      <c r="M22" s="30"/>
      <c r="N22" s="30"/>
      <c r="O22" s="30"/>
      <c r="P22" s="30"/>
      <c r="Q22" s="30"/>
    </row>
    <row r="23" spans="1:56" s="18" customFormat="1" x14ac:dyDescent="0.2">
      <c r="A23" s="33">
        <v>7</v>
      </c>
      <c r="B23" s="25" t="s">
        <v>22</v>
      </c>
      <c r="C23" s="31">
        <f>C24+C25</f>
        <v>8</v>
      </c>
      <c r="D23" s="31">
        <f t="shared" ref="D23" si="57">D24+D25</f>
        <v>4295</v>
      </c>
      <c r="E23" s="31">
        <f t="shared" ref="E23:H23" si="58">E24+E25</f>
        <v>4225</v>
      </c>
      <c r="F23" s="31">
        <f t="shared" si="58"/>
        <v>1760</v>
      </c>
      <c r="G23" s="31">
        <f t="shared" si="58"/>
        <v>1909</v>
      </c>
      <c r="H23" s="31">
        <f t="shared" si="58"/>
        <v>556</v>
      </c>
      <c r="I23" s="31"/>
      <c r="J23" s="32">
        <f t="shared" ref="J23:N23" si="59">J24+J25</f>
        <v>732172</v>
      </c>
      <c r="K23" s="32">
        <f t="shared" si="59"/>
        <v>1985380</v>
      </c>
      <c r="L23" s="32">
        <f t="shared" si="59"/>
        <v>809550</v>
      </c>
      <c r="M23" s="32">
        <f t="shared" si="59"/>
        <v>3527102</v>
      </c>
      <c r="N23" s="32">
        <f t="shared" si="59"/>
        <v>31744</v>
      </c>
      <c r="O23" s="32"/>
      <c r="P23" s="32">
        <f t="shared" ref="P23:Q23" si="60">P24+P25</f>
        <v>2667</v>
      </c>
      <c r="Q23" s="32">
        <f t="shared" si="60"/>
        <v>34411</v>
      </c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</row>
    <row r="24" spans="1:56" s="19" customFormat="1" x14ac:dyDescent="0.25">
      <c r="A24" s="34"/>
      <c r="B24" s="28" t="s">
        <v>15</v>
      </c>
      <c r="C24" s="21">
        <v>7</v>
      </c>
      <c r="D24" s="21">
        <v>4225</v>
      </c>
      <c r="E24" s="21">
        <f>F24+G24+H24</f>
        <v>4165</v>
      </c>
      <c r="F24" s="35">
        <v>1730</v>
      </c>
      <c r="G24" s="35">
        <v>1889</v>
      </c>
      <c r="H24" s="35">
        <v>546</v>
      </c>
      <c r="I24" s="21">
        <v>2080</v>
      </c>
      <c r="J24" s="30">
        <f>(I24*F24*0.2)</f>
        <v>719680</v>
      </c>
      <c r="K24" s="30">
        <f>(I24*G24*0.5)</f>
        <v>1964560</v>
      </c>
      <c r="L24" s="30">
        <f>(I24*H24*0.7)</f>
        <v>794976</v>
      </c>
      <c r="M24" s="30">
        <f t="shared" ref="M24:M25" si="61">J24+K24+L24</f>
        <v>3479216</v>
      </c>
      <c r="N24" s="30">
        <f t="shared" ref="N24:N25" si="62">ROUND((M24*9/1000),0)</f>
        <v>31313</v>
      </c>
      <c r="O24" s="30">
        <v>621</v>
      </c>
      <c r="P24" s="30">
        <f>ROUND(D24*O24/1000,0)</f>
        <v>2624</v>
      </c>
      <c r="Q24" s="30">
        <f t="shared" ref="Q24:Q25" si="63">N24+P24</f>
        <v>33937</v>
      </c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</row>
    <row r="25" spans="1:56" s="19" customFormat="1" x14ac:dyDescent="0.25">
      <c r="A25" s="34"/>
      <c r="B25" s="28" t="s">
        <v>16</v>
      </c>
      <c r="C25" s="21">
        <v>1</v>
      </c>
      <c r="D25" s="21">
        <v>70</v>
      </c>
      <c r="E25" s="21">
        <f>F25+G25+H25</f>
        <v>60</v>
      </c>
      <c r="F25" s="21">
        <v>30</v>
      </c>
      <c r="G25" s="21">
        <v>20</v>
      </c>
      <c r="H25" s="29">
        <v>10</v>
      </c>
      <c r="I25" s="21">
        <v>2082</v>
      </c>
      <c r="J25" s="30">
        <f>(I25*F25*0.2)</f>
        <v>12492</v>
      </c>
      <c r="K25" s="30">
        <f>(I25*G25*0.5)</f>
        <v>20820</v>
      </c>
      <c r="L25" s="30">
        <f>(I25*H25*0.7)</f>
        <v>14573.999999999998</v>
      </c>
      <c r="M25" s="30">
        <f t="shared" si="61"/>
        <v>47886</v>
      </c>
      <c r="N25" s="30">
        <f t="shared" si="62"/>
        <v>431</v>
      </c>
      <c r="O25" s="30">
        <v>621</v>
      </c>
      <c r="P25" s="30">
        <f>ROUND(D25*O25/1000,0)</f>
        <v>43</v>
      </c>
      <c r="Q25" s="30">
        <f t="shared" si="63"/>
        <v>474</v>
      </c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</row>
    <row r="26" spans="1:56" s="16" customFormat="1" x14ac:dyDescent="0.2">
      <c r="A26" s="24">
        <v>8</v>
      </c>
      <c r="B26" s="25" t="s">
        <v>23</v>
      </c>
      <c r="C26" s="31">
        <f>C27+C28</f>
        <v>10</v>
      </c>
      <c r="D26" s="31">
        <f t="shared" ref="D26" si="64">D27+D28</f>
        <v>2933</v>
      </c>
      <c r="E26" s="31">
        <f t="shared" ref="E26" si="65">E27+E28</f>
        <v>2859</v>
      </c>
      <c r="F26" s="31">
        <f>F27+F28</f>
        <v>1123</v>
      </c>
      <c r="G26" s="31">
        <f t="shared" ref="G26:H26" si="66">G27+G28</f>
        <v>1176</v>
      </c>
      <c r="H26" s="31">
        <f t="shared" si="66"/>
        <v>560</v>
      </c>
      <c r="I26" s="31"/>
      <c r="J26" s="27">
        <f>J27+J28</f>
        <v>752410</v>
      </c>
      <c r="K26" s="27">
        <f t="shared" ref="K26:N26" si="67">K27+K28</f>
        <v>1969800</v>
      </c>
      <c r="L26" s="27">
        <f t="shared" si="67"/>
        <v>1313200</v>
      </c>
      <c r="M26" s="27">
        <f t="shared" si="67"/>
        <v>4035410</v>
      </c>
      <c r="N26" s="27">
        <f t="shared" si="67"/>
        <v>36319</v>
      </c>
      <c r="O26" s="37"/>
      <c r="P26" s="27">
        <f t="shared" ref="P26:Q26" si="68">P27+P28</f>
        <v>1821</v>
      </c>
      <c r="Q26" s="27">
        <f t="shared" si="68"/>
        <v>38140</v>
      </c>
    </row>
    <row r="27" spans="1:56" x14ac:dyDescent="0.25">
      <c r="A27" s="23"/>
      <c r="B27" s="28" t="s">
        <v>15</v>
      </c>
      <c r="C27" s="21">
        <v>10</v>
      </c>
      <c r="D27" s="21">
        <v>2933</v>
      </c>
      <c r="E27" s="21">
        <f>F27+G27+H27</f>
        <v>2859</v>
      </c>
      <c r="F27" s="29">
        <v>1123</v>
      </c>
      <c r="G27" s="29">
        <v>1176</v>
      </c>
      <c r="H27" s="29">
        <v>560</v>
      </c>
      <c r="I27" s="21">
        <v>3350</v>
      </c>
      <c r="J27" s="30">
        <f>(I27*F27*0.2)</f>
        <v>752410</v>
      </c>
      <c r="K27" s="30">
        <f>(I27*G27*0.5)</f>
        <v>1969800</v>
      </c>
      <c r="L27" s="30">
        <f>(I27*H27*0.7)</f>
        <v>1313200</v>
      </c>
      <c r="M27" s="30">
        <f>J27+K27+L27</f>
        <v>4035410</v>
      </c>
      <c r="N27" s="30">
        <f>ROUND((M27*9/1000),0)</f>
        <v>36319</v>
      </c>
      <c r="O27" s="30">
        <v>621</v>
      </c>
      <c r="P27" s="30">
        <f>ROUND(D27*O27/1000,0)</f>
        <v>1821</v>
      </c>
      <c r="Q27" s="30">
        <f>N27+P27</f>
        <v>38140</v>
      </c>
    </row>
    <row r="28" spans="1:56" x14ac:dyDescent="0.25">
      <c r="A28" s="23"/>
      <c r="B28" s="28" t="s">
        <v>16</v>
      </c>
      <c r="C28" s="21"/>
      <c r="D28" s="21"/>
      <c r="E28" s="21"/>
      <c r="F28" s="21"/>
      <c r="G28" s="21"/>
      <c r="H28" s="29"/>
      <c r="I28" s="21"/>
      <c r="J28" s="30"/>
      <c r="K28" s="30"/>
      <c r="L28" s="30"/>
      <c r="M28" s="30"/>
      <c r="N28" s="30"/>
      <c r="O28" s="30"/>
      <c r="P28" s="30"/>
      <c r="Q28" s="30"/>
    </row>
    <row r="29" spans="1:56" s="16" customFormat="1" x14ac:dyDescent="0.2">
      <c r="A29" s="24">
        <v>9</v>
      </c>
      <c r="B29" s="25" t="s">
        <v>24</v>
      </c>
      <c r="C29" s="31">
        <f>C30+C31</f>
        <v>10</v>
      </c>
      <c r="D29" s="31">
        <f t="shared" ref="D29" si="69">D30+D31</f>
        <v>2478</v>
      </c>
      <c r="E29" s="31">
        <f t="shared" ref="E29" si="70">E30+E31</f>
        <v>2460</v>
      </c>
      <c r="F29" s="31">
        <f>F30+F31</f>
        <v>903</v>
      </c>
      <c r="G29" s="31">
        <f t="shared" ref="G29:H29" si="71">G30+G31</f>
        <v>1147</v>
      </c>
      <c r="H29" s="31">
        <f t="shared" si="71"/>
        <v>410</v>
      </c>
      <c r="I29" s="31"/>
      <c r="J29" s="32">
        <f t="shared" ref="J29:N29" si="72">J30+J31</f>
        <v>559860</v>
      </c>
      <c r="K29" s="32">
        <f t="shared" si="72"/>
        <v>1777850</v>
      </c>
      <c r="L29" s="32">
        <f t="shared" si="72"/>
        <v>889700</v>
      </c>
      <c r="M29" s="32">
        <f t="shared" si="72"/>
        <v>3227410</v>
      </c>
      <c r="N29" s="32">
        <f t="shared" si="72"/>
        <v>29047</v>
      </c>
      <c r="O29" s="31"/>
      <c r="P29" s="32">
        <f t="shared" ref="P29:Q29" si="73">P30+P31</f>
        <v>1539</v>
      </c>
      <c r="Q29" s="32">
        <f t="shared" si="73"/>
        <v>30586</v>
      </c>
    </row>
    <row r="30" spans="1:56" x14ac:dyDescent="0.25">
      <c r="A30" s="23"/>
      <c r="B30" s="28" t="s">
        <v>15</v>
      </c>
      <c r="C30" s="21">
        <v>10</v>
      </c>
      <c r="D30" s="21">
        <v>2478</v>
      </c>
      <c r="E30" s="21">
        <f>F30+G30+H30</f>
        <v>2460</v>
      </c>
      <c r="F30" s="29">
        <v>903</v>
      </c>
      <c r="G30" s="29">
        <v>1147</v>
      </c>
      <c r="H30" s="29">
        <v>410</v>
      </c>
      <c r="I30" s="21">
        <v>3100</v>
      </c>
      <c r="J30" s="30">
        <f>(I30*F30*0.2)</f>
        <v>559860</v>
      </c>
      <c r="K30" s="30">
        <f>(I30*G30*0.5)</f>
        <v>1777850</v>
      </c>
      <c r="L30" s="30">
        <f>(I30*H30*0.7)</f>
        <v>889700</v>
      </c>
      <c r="M30" s="30">
        <f>J30+K30+L30</f>
        <v>3227410</v>
      </c>
      <c r="N30" s="30">
        <f>ROUND((M30*9/1000),0)</f>
        <v>29047</v>
      </c>
      <c r="O30" s="30">
        <v>621</v>
      </c>
      <c r="P30" s="30">
        <f>ROUND(D30*O30/1000,0)</f>
        <v>1539</v>
      </c>
      <c r="Q30" s="30">
        <f>N30+P30</f>
        <v>30586</v>
      </c>
    </row>
    <row r="31" spans="1:56" x14ac:dyDescent="0.25">
      <c r="A31" s="23"/>
      <c r="B31" s="28" t="s">
        <v>16</v>
      </c>
      <c r="C31" s="21"/>
      <c r="D31" s="21"/>
      <c r="E31" s="21"/>
      <c r="F31" s="21"/>
      <c r="G31" s="21"/>
      <c r="H31" s="29"/>
      <c r="I31" s="21"/>
      <c r="J31" s="30"/>
      <c r="K31" s="30"/>
      <c r="L31" s="30"/>
      <c r="M31" s="30"/>
      <c r="N31" s="30"/>
      <c r="O31" s="30"/>
      <c r="P31" s="30">
        <f>ROUND(D31*O31/1000,0)</f>
        <v>0</v>
      </c>
      <c r="Q31" s="30"/>
    </row>
    <row r="32" spans="1:56" s="16" customFormat="1" x14ac:dyDescent="0.2">
      <c r="A32" s="24">
        <v>10</v>
      </c>
      <c r="B32" s="25" t="s">
        <v>25</v>
      </c>
      <c r="C32" s="31">
        <f>C33+C34</f>
        <v>14</v>
      </c>
      <c r="D32" s="31">
        <f t="shared" ref="D32" si="74">D33+D34</f>
        <v>4376</v>
      </c>
      <c r="E32" s="31">
        <f t="shared" ref="E32" si="75">E33+E34</f>
        <v>4091</v>
      </c>
      <c r="F32" s="31">
        <f>F33+F34</f>
        <v>3239</v>
      </c>
      <c r="G32" s="31">
        <f t="shared" ref="G32:H32" si="76">G33+G34</f>
        <v>752</v>
      </c>
      <c r="H32" s="31">
        <f t="shared" si="76"/>
        <v>100</v>
      </c>
      <c r="I32" s="31"/>
      <c r="J32" s="27">
        <f>J33+J34</f>
        <v>2564198.7999999998</v>
      </c>
      <c r="K32" s="27">
        <f t="shared" ref="K32:N32" si="77">K33+K34</f>
        <v>1475602</v>
      </c>
      <c r="L32" s="27">
        <f t="shared" si="77"/>
        <v>267971.19999999995</v>
      </c>
      <c r="M32" s="27">
        <f t="shared" si="77"/>
        <v>4307772</v>
      </c>
      <c r="N32" s="27">
        <f t="shared" si="77"/>
        <v>38770</v>
      </c>
      <c r="O32" s="32"/>
      <c r="P32" s="27">
        <f t="shared" ref="P32:Q32" si="78">P33+P34</f>
        <v>2718</v>
      </c>
      <c r="Q32" s="27">
        <f t="shared" si="78"/>
        <v>41488</v>
      </c>
    </row>
    <row r="33" spans="1:56" x14ac:dyDescent="0.25">
      <c r="A33" s="23"/>
      <c r="B33" s="28" t="s">
        <v>15</v>
      </c>
      <c r="C33" s="21">
        <v>13</v>
      </c>
      <c r="D33" s="21">
        <v>4236</v>
      </c>
      <c r="E33" s="21">
        <f>F33+G33+H33</f>
        <v>4024</v>
      </c>
      <c r="F33" s="29">
        <v>3202</v>
      </c>
      <c r="G33" s="29">
        <v>730</v>
      </c>
      <c r="H33" s="29">
        <v>92</v>
      </c>
      <c r="I33" s="21">
        <v>3980</v>
      </c>
      <c r="J33" s="30">
        <f>(I33*F33*0.2)</f>
        <v>2548792</v>
      </c>
      <c r="K33" s="30">
        <f>(I33*G33*0.5)</f>
        <v>1452700</v>
      </c>
      <c r="L33" s="30">
        <f>(I33*H33*0.7)</f>
        <v>256311.99999999997</v>
      </c>
      <c r="M33" s="30">
        <f>J33+K33+L33</f>
        <v>4257804</v>
      </c>
      <c r="N33" s="30">
        <f>ROUND((M33*9/1000),0)</f>
        <v>38320</v>
      </c>
      <c r="O33" s="30">
        <v>621</v>
      </c>
      <c r="P33" s="30">
        <f>ROUND(D33*O33/1000,0)</f>
        <v>2631</v>
      </c>
      <c r="Q33" s="30">
        <f>N33+P33</f>
        <v>40951</v>
      </c>
    </row>
    <row r="34" spans="1:56" x14ac:dyDescent="0.25">
      <c r="A34" s="23"/>
      <c r="B34" s="28" t="s">
        <v>16</v>
      </c>
      <c r="C34" s="21">
        <v>1</v>
      </c>
      <c r="D34" s="21">
        <v>140</v>
      </c>
      <c r="E34" s="21">
        <f>F34+G34+H34</f>
        <v>67</v>
      </c>
      <c r="F34" s="21">
        <v>37</v>
      </c>
      <c r="G34" s="21">
        <v>22</v>
      </c>
      <c r="H34" s="29">
        <v>8</v>
      </c>
      <c r="I34" s="21">
        <v>2082</v>
      </c>
      <c r="J34" s="30">
        <f>(I34*F34*0.2)</f>
        <v>15406.800000000001</v>
      </c>
      <c r="K34" s="30">
        <f>(I34*G34*0.5)</f>
        <v>22902</v>
      </c>
      <c r="L34" s="30">
        <f>(I34*H34*0.7)</f>
        <v>11659.199999999999</v>
      </c>
      <c r="M34" s="30">
        <f>J34+K34+L34</f>
        <v>49968</v>
      </c>
      <c r="N34" s="30">
        <f>ROUND((M34*9/1000),0)</f>
        <v>450</v>
      </c>
      <c r="O34" s="30">
        <v>621</v>
      </c>
      <c r="P34" s="30">
        <f>ROUND(D34*O34/1000,0)</f>
        <v>87</v>
      </c>
      <c r="Q34" s="30">
        <f>N34+P34</f>
        <v>537</v>
      </c>
    </row>
    <row r="35" spans="1:56" s="16" customFormat="1" x14ac:dyDescent="0.2">
      <c r="A35" s="24">
        <v>11</v>
      </c>
      <c r="B35" s="25" t="s">
        <v>26</v>
      </c>
      <c r="C35" s="31">
        <f>C36+C37</f>
        <v>8</v>
      </c>
      <c r="D35" s="31">
        <f t="shared" ref="D35" si="79">D36+D37</f>
        <v>2870</v>
      </c>
      <c r="E35" s="31">
        <f t="shared" ref="E35" si="80">E36+E37</f>
        <v>2836</v>
      </c>
      <c r="F35" s="31">
        <f>F36+F37</f>
        <v>1083</v>
      </c>
      <c r="G35" s="31">
        <f t="shared" ref="G35:H35" si="81">G36+G37</f>
        <v>1170</v>
      </c>
      <c r="H35" s="31">
        <f t="shared" si="81"/>
        <v>583</v>
      </c>
      <c r="I35" s="31"/>
      <c r="J35" s="27">
        <f>J36+J37</f>
        <v>518757</v>
      </c>
      <c r="K35" s="27">
        <f t="shared" ref="K35:N35" si="82">K36+K37</f>
        <v>1401075</v>
      </c>
      <c r="L35" s="27">
        <f t="shared" si="82"/>
        <v>977399.49999999988</v>
      </c>
      <c r="M35" s="27">
        <f t="shared" si="82"/>
        <v>2897231.5</v>
      </c>
      <c r="N35" s="27">
        <f t="shared" si="82"/>
        <v>26075</v>
      </c>
      <c r="O35" s="43"/>
      <c r="P35" s="27">
        <f t="shared" ref="P35:Q35" si="83">P36+P37</f>
        <v>1782</v>
      </c>
      <c r="Q35" s="27">
        <f t="shared" si="83"/>
        <v>27857</v>
      </c>
    </row>
    <row r="36" spans="1:56" x14ac:dyDescent="0.25">
      <c r="A36" s="23"/>
      <c r="B36" s="28" t="s">
        <v>15</v>
      </c>
      <c r="C36" s="36">
        <v>8</v>
      </c>
      <c r="D36" s="21">
        <v>2870</v>
      </c>
      <c r="E36" s="21">
        <f>F36+G36+H36</f>
        <v>2836</v>
      </c>
      <c r="F36" s="29">
        <v>1083</v>
      </c>
      <c r="G36" s="29">
        <v>1170</v>
      </c>
      <c r="H36" s="29">
        <v>583</v>
      </c>
      <c r="I36" s="21">
        <v>2395</v>
      </c>
      <c r="J36" s="30">
        <f>(I36*F36*0.2)</f>
        <v>518757</v>
      </c>
      <c r="K36" s="30">
        <f>(I36*G36*0.5)</f>
        <v>1401075</v>
      </c>
      <c r="L36" s="30">
        <f>(I36*H36*0.7)</f>
        <v>977399.49999999988</v>
      </c>
      <c r="M36" s="30">
        <f>J36+K36+L36</f>
        <v>2897231.5</v>
      </c>
      <c r="N36" s="30">
        <f>ROUND((M36*9/1000),0)</f>
        <v>26075</v>
      </c>
      <c r="O36" s="30">
        <v>621</v>
      </c>
      <c r="P36" s="30">
        <f>ROUND(D36*O36/1000,0)</f>
        <v>1782</v>
      </c>
      <c r="Q36" s="30">
        <f>N36+P36</f>
        <v>27857</v>
      </c>
    </row>
    <row r="37" spans="1:56" x14ac:dyDescent="0.25">
      <c r="A37" s="23"/>
      <c r="B37" s="28" t="s">
        <v>16</v>
      </c>
      <c r="C37" s="21"/>
      <c r="D37" s="21"/>
      <c r="E37" s="21"/>
      <c r="F37" s="21"/>
      <c r="G37" s="21"/>
      <c r="H37" s="29"/>
      <c r="I37" s="21"/>
      <c r="J37" s="30"/>
      <c r="K37" s="30"/>
      <c r="L37" s="30"/>
      <c r="M37" s="30"/>
      <c r="N37" s="30"/>
      <c r="O37" s="30"/>
      <c r="P37" s="30"/>
      <c r="Q37" s="30"/>
    </row>
    <row r="38" spans="1:56" s="16" customFormat="1" x14ac:dyDescent="0.2">
      <c r="A38" s="24">
        <v>12</v>
      </c>
      <c r="B38" s="25" t="s">
        <v>27</v>
      </c>
      <c r="C38" s="31">
        <f>C39+C40</f>
        <v>5</v>
      </c>
      <c r="D38" s="31">
        <f t="shared" ref="D38" si="84">D39+D40</f>
        <v>1199</v>
      </c>
      <c r="E38" s="31">
        <f t="shared" ref="E38:H38" si="85">E39+E40</f>
        <v>1185</v>
      </c>
      <c r="F38" s="31">
        <f t="shared" si="85"/>
        <v>496</v>
      </c>
      <c r="G38" s="31">
        <f t="shared" si="85"/>
        <v>473</v>
      </c>
      <c r="H38" s="31">
        <f t="shared" si="85"/>
        <v>216</v>
      </c>
      <c r="I38" s="31"/>
      <c r="J38" s="27">
        <f>J39+J40</f>
        <v>416640</v>
      </c>
      <c r="K38" s="27">
        <f t="shared" ref="K38:N38" si="86">K39+K40</f>
        <v>993300</v>
      </c>
      <c r="L38" s="27">
        <f t="shared" si="86"/>
        <v>635040</v>
      </c>
      <c r="M38" s="27">
        <f t="shared" si="86"/>
        <v>2044980</v>
      </c>
      <c r="N38" s="27">
        <f t="shared" si="86"/>
        <v>18405</v>
      </c>
      <c r="O38" s="43"/>
      <c r="P38" s="27">
        <f t="shared" ref="P38:Q38" si="87">P39+P40</f>
        <v>745</v>
      </c>
      <c r="Q38" s="27">
        <f t="shared" si="87"/>
        <v>19150</v>
      </c>
    </row>
    <row r="39" spans="1:56" x14ac:dyDescent="0.25">
      <c r="A39" s="23"/>
      <c r="B39" s="28" t="s">
        <v>15</v>
      </c>
      <c r="C39" s="21">
        <v>5</v>
      </c>
      <c r="D39" s="21">
        <v>1199</v>
      </c>
      <c r="E39" s="21">
        <f>F39+G39+H39</f>
        <v>1185</v>
      </c>
      <c r="F39" s="21">
        <v>496</v>
      </c>
      <c r="G39" s="21">
        <v>473</v>
      </c>
      <c r="H39" s="21">
        <v>216</v>
      </c>
      <c r="I39" s="21">
        <v>4200</v>
      </c>
      <c r="J39" s="30">
        <f>(I39*F39*0.2)</f>
        <v>416640</v>
      </c>
      <c r="K39" s="30">
        <f>(I39*G39*0.5)</f>
        <v>993300</v>
      </c>
      <c r="L39" s="30">
        <f>(I39*H39*0.7)</f>
        <v>635040</v>
      </c>
      <c r="M39" s="30">
        <f>J39+K39+L39</f>
        <v>2044980</v>
      </c>
      <c r="N39" s="30">
        <f>ROUND((M39*9/1000),0)</f>
        <v>18405</v>
      </c>
      <c r="O39" s="30">
        <v>621</v>
      </c>
      <c r="P39" s="30">
        <f>ROUND(D39*O39/1000,0)</f>
        <v>745</v>
      </c>
      <c r="Q39" s="30">
        <f>N39+P39</f>
        <v>19150</v>
      </c>
    </row>
    <row r="40" spans="1:56" x14ac:dyDescent="0.25">
      <c r="A40" s="23"/>
      <c r="B40" s="28" t="s">
        <v>16</v>
      </c>
      <c r="C40" s="21"/>
      <c r="D40" s="21"/>
      <c r="E40" s="21"/>
      <c r="F40" s="21"/>
      <c r="G40" s="21"/>
      <c r="H40" s="29"/>
      <c r="I40" s="21"/>
      <c r="J40" s="30"/>
      <c r="K40" s="30"/>
      <c r="L40" s="30"/>
      <c r="M40" s="30"/>
      <c r="N40" s="30"/>
      <c r="O40" s="30"/>
      <c r="P40" s="30"/>
      <c r="Q40" s="30"/>
    </row>
    <row r="41" spans="1:56" s="16" customFormat="1" x14ac:dyDescent="0.2">
      <c r="A41" s="24">
        <v>13</v>
      </c>
      <c r="B41" s="25" t="s">
        <v>28</v>
      </c>
      <c r="C41" s="31">
        <f>C42+C43</f>
        <v>10</v>
      </c>
      <c r="D41" s="31">
        <f t="shared" ref="D41" si="88">D42+D43</f>
        <v>2782</v>
      </c>
      <c r="E41" s="31">
        <f t="shared" ref="E41:H41" si="89">E42+E43</f>
        <v>2680</v>
      </c>
      <c r="F41" s="31">
        <f t="shared" si="89"/>
        <v>1179</v>
      </c>
      <c r="G41" s="31">
        <f t="shared" si="89"/>
        <v>1153</v>
      </c>
      <c r="H41" s="31">
        <f t="shared" si="89"/>
        <v>348</v>
      </c>
      <c r="I41" s="31"/>
      <c r="J41" s="27">
        <f>J42+J43</f>
        <v>639068.4</v>
      </c>
      <c r="K41" s="27">
        <f t="shared" ref="K41:N41" si="90">K42+K43</f>
        <v>1562181</v>
      </c>
      <c r="L41" s="27">
        <f t="shared" si="90"/>
        <v>660492</v>
      </c>
      <c r="M41" s="27">
        <f t="shared" si="90"/>
        <v>2861741.4</v>
      </c>
      <c r="N41" s="27">
        <f t="shared" si="90"/>
        <v>25755</v>
      </c>
      <c r="O41" s="32"/>
      <c r="P41" s="27">
        <f t="shared" ref="P41:Q41" si="91">P42+P43</f>
        <v>1727</v>
      </c>
      <c r="Q41" s="27">
        <f t="shared" si="91"/>
        <v>27482</v>
      </c>
    </row>
    <row r="42" spans="1:56" x14ac:dyDescent="0.25">
      <c r="A42" s="23"/>
      <c r="B42" s="28" t="s">
        <v>15</v>
      </c>
      <c r="C42" s="21">
        <v>8</v>
      </c>
      <c r="D42" s="21">
        <v>2690</v>
      </c>
      <c r="E42" s="21">
        <f>F42+G42+H42</f>
        <v>2598</v>
      </c>
      <c r="F42" s="29">
        <v>1143</v>
      </c>
      <c r="G42" s="29">
        <v>1117</v>
      </c>
      <c r="H42" s="29">
        <v>338</v>
      </c>
      <c r="I42" s="21">
        <v>2730</v>
      </c>
      <c r="J42" s="30">
        <f t="shared" ref="J42:J45" si="92">(I42*F42*0.2)</f>
        <v>624078</v>
      </c>
      <c r="K42" s="30">
        <f t="shared" ref="K42:K43" si="93">(I42*G42*0.5)</f>
        <v>1524705</v>
      </c>
      <c r="L42" s="30">
        <f t="shared" ref="L42:L43" si="94">(I42*H42*0.7)</f>
        <v>645918</v>
      </c>
      <c r="M42" s="30">
        <f t="shared" ref="M42:M43" si="95">J42+K42+L42</f>
        <v>2794701</v>
      </c>
      <c r="N42" s="30">
        <f t="shared" ref="N42:N43" si="96">ROUND((M42*9/1000),0)</f>
        <v>25152</v>
      </c>
      <c r="O42" s="30">
        <v>621</v>
      </c>
      <c r="P42" s="30">
        <f>ROUND(D42*O42/1000,0)</f>
        <v>1670</v>
      </c>
      <c r="Q42" s="30">
        <f t="shared" ref="Q42:Q43" si="97">N42+P42</f>
        <v>26822</v>
      </c>
    </row>
    <row r="43" spans="1:56" x14ac:dyDescent="0.25">
      <c r="A43" s="23"/>
      <c r="B43" s="28" t="s">
        <v>16</v>
      </c>
      <c r="C43" s="21">
        <v>2</v>
      </c>
      <c r="D43" s="21">
        <v>92</v>
      </c>
      <c r="E43" s="21">
        <f>F43+G43+H43</f>
        <v>82</v>
      </c>
      <c r="F43" s="21">
        <v>36</v>
      </c>
      <c r="G43" s="21">
        <v>36</v>
      </c>
      <c r="H43" s="29">
        <v>10</v>
      </c>
      <c r="I43" s="21">
        <v>2082</v>
      </c>
      <c r="J43" s="30">
        <f t="shared" si="92"/>
        <v>14990.400000000001</v>
      </c>
      <c r="K43" s="30">
        <f t="shared" si="93"/>
        <v>37476</v>
      </c>
      <c r="L43" s="30">
        <f t="shared" si="94"/>
        <v>14573.999999999998</v>
      </c>
      <c r="M43" s="30">
        <f t="shared" si="95"/>
        <v>67040.399999999994</v>
      </c>
      <c r="N43" s="30">
        <f t="shared" si="96"/>
        <v>603</v>
      </c>
      <c r="O43" s="30">
        <v>621</v>
      </c>
      <c r="P43" s="30">
        <f>ROUND(D43*O43/1000,0)</f>
        <v>57</v>
      </c>
      <c r="Q43" s="30">
        <f t="shared" si="97"/>
        <v>660</v>
      </c>
    </row>
    <row r="44" spans="1:56" s="18" customFormat="1" x14ac:dyDescent="0.2">
      <c r="A44" s="24">
        <v>14</v>
      </c>
      <c r="B44" s="25" t="s">
        <v>29</v>
      </c>
      <c r="C44" s="31">
        <f>C45+C46</f>
        <v>11</v>
      </c>
      <c r="D44" s="31">
        <f>D45+D46</f>
        <v>1724</v>
      </c>
      <c r="E44" s="26">
        <f>E45+E46</f>
        <v>1718</v>
      </c>
      <c r="F44" s="26">
        <f t="shared" ref="F44:H44" si="98">F45+F46</f>
        <v>633</v>
      </c>
      <c r="G44" s="26">
        <f t="shared" si="98"/>
        <v>802</v>
      </c>
      <c r="H44" s="26">
        <f t="shared" si="98"/>
        <v>283</v>
      </c>
      <c r="I44" s="31"/>
      <c r="J44" s="37">
        <f t="shared" ref="J44:N44" si="99">J45+J46</f>
        <v>351948</v>
      </c>
      <c r="K44" s="37">
        <f t="shared" si="99"/>
        <v>1114780</v>
      </c>
      <c r="L44" s="37">
        <f t="shared" si="99"/>
        <v>550718</v>
      </c>
      <c r="M44" s="37">
        <f t="shared" si="99"/>
        <v>2017446</v>
      </c>
      <c r="N44" s="37">
        <f t="shared" si="99"/>
        <v>18157</v>
      </c>
      <c r="O44" s="43"/>
      <c r="P44" s="37">
        <f>P45+P46</f>
        <v>1346</v>
      </c>
      <c r="Q44" s="37">
        <f>Q45+Q46</f>
        <v>19503</v>
      </c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</row>
    <row r="45" spans="1:56" s="19" customFormat="1" x14ac:dyDescent="0.25">
      <c r="A45" s="23"/>
      <c r="B45" s="28" t="s">
        <v>15</v>
      </c>
      <c r="C45" s="21">
        <f>C47+C48</f>
        <v>11</v>
      </c>
      <c r="D45" s="21">
        <f>D47+D48</f>
        <v>1724</v>
      </c>
      <c r="E45" s="21">
        <f>F45+G45+H45</f>
        <v>1718</v>
      </c>
      <c r="F45" s="21">
        <f>F47+F48</f>
        <v>633</v>
      </c>
      <c r="G45" s="21">
        <f t="shared" ref="G45:H45" si="100">G47+G48</f>
        <v>802</v>
      </c>
      <c r="H45" s="21">
        <f t="shared" si="100"/>
        <v>283</v>
      </c>
      <c r="I45" s="21">
        <v>2780</v>
      </c>
      <c r="J45" s="30">
        <f t="shared" si="92"/>
        <v>351948</v>
      </c>
      <c r="K45" s="30">
        <f t="shared" ref="K45" si="101">(I45*G45*0.5)</f>
        <v>1114780</v>
      </c>
      <c r="L45" s="30">
        <f t="shared" ref="L45" si="102">(I45*H45*0.7)</f>
        <v>550718</v>
      </c>
      <c r="M45" s="30">
        <f>J45+K45+L45</f>
        <v>2017446</v>
      </c>
      <c r="N45" s="30">
        <f>ROUND((M45*9/1000),0)</f>
        <v>18157</v>
      </c>
      <c r="O45" s="30"/>
      <c r="P45" s="30">
        <f>P47+P48</f>
        <v>1346</v>
      </c>
      <c r="Q45" s="30">
        <f>N45+P45</f>
        <v>19503</v>
      </c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</row>
    <row r="46" spans="1:56" s="19" customFormat="1" x14ac:dyDescent="0.25">
      <c r="A46" s="23"/>
      <c r="B46" s="28" t="s">
        <v>16</v>
      </c>
      <c r="C46" s="21"/>
      <c r="D46" s="21"/>
      <c r="E46" s="21"/>
      <c r="F46" s="21"/>
      <c r="G46" s="21"/>
      <c r="H46" s="29"/>
      <c r="I46" s="21"/>
      <c r="J46" s="30"/>
      <c r="K46" s="30"/>
      <c r="L46" s="30"/>
      <c r="M46" s="30"/>
      <c r="N46" s="30"/>
      <c r="O46" s="30"/>
      <c r="P46" s="30"/>
      <c r="Q46" s="37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</row>
    <row r="47" spans="1:56" s="19" customFormat="1" x14ac:dyDescent="0.25">
      <c r="A47" s="23"/>
      <c r="B47" s="38" t="s">
        <v>30</v>
      </c>
      <c r="C47" s="39">
        <v>4</v>
      </c>
      <c r="D47" s="39">
        <v>1183</v>
      </c>
      <c r="E47" s="21">
        <f t="shared" ref="E47:E48" si="103">F47+G47+H47</f>
        <v>1180</v>
      </c>
      <c r="F47" s="39">
        <f>585-200</f>
        <v>385</v>
      </c>
      <c r="G47" s="39">
        <v>596</v>
      </c>
      <c r="H47" s="39">
        <v>199</v>
      </c>
      <c r="I47" s="39"/>
      <c r="J47" s="40"/>
      <c r="K47" s="40"/>
      <c r="L47" s="40"/>
      <c r="M47" s="40"/>
      <c r="N47" s="40"/>
      <c r="O47" s="30">
        <v>621</v>
      </c>
      <c r="P47" s="40">
        <f>ROUND(D47*O47/1000,0)</f>
        <v>735</v>
      </c>
      <c r="Q47" s="44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</row>
    <row r="48" spans="1:56" s="19" customFormat="1" x14ac:dyDescent="0.25">
      <c r="A48" s="23"/>
      <c r="B48" s="38" t="s">
        <v>31</v>
      </c>
      <c r="C48" s="39">
        <v>7</v>
      </c>
      <c r="D48" s="39">
        <v>541</v>
      </c>
      <c r="E48" s="21">
        <f t="shared" si="103"/>
        <v>538</v>
      </c>
      <c r="F48" s="39">
        <f>258-10</f>
        <v>248</v>
      </c>
      <c r="G48" s="39">
        <v>206</v>
      </c>
      <c r="H48" s="39">
        <v>84</v>
      </c>
      <c r="I48" s="39"/>
      <c r="J48" s="40"/>
      <c r="K48" s="40"/>
      <c r="L48" s="40"/>
      <c r="M48" s="40"/>
      <c r="N48" s="40"/>
      <c r="O48" s="40">
        <v>1130</v>
      </c>
      <c r="P48" s="40">
        <f>ROUND(D48*O48/1000,0)</f>
        <v>611</v>
      </c>
      <c r="Q48" s="44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</row>
    <row r="49" spans="1:17" s="16" customFormat="1" x14ac:dyDescent="0.2">
      <c r="A49" s="24">
        <v>15</v>
      </c>
      <c r="B49" s="25" t="s">
        <v>32</v>
      </c>
      <c r="C49" s="31">
        <f>C50+C51</f>
        <v>20</v>
      </c>
      <c r="D49" s="31">
        <f t="shared" ref="D49" si="104">D50+D51</f>
        <v>1811</v>
      </c>
      <c r="E49" s="31">
        <f t="shared" ref="E49:H49" si="105">E50+E51</f>
        <v>1807</v>
      </c>
      <c r="F49" s="31">
        <f t="shared" si="105"/>
        <v>581</v>
      </c>
      <c r="G49" s="31">
        <f t="shared" si="105"/>
        <v>738</v>
      </c>
      <c r="H49" s="31">
        <f t="shared" si="105"/>
        <v>488</v>
      </c>
      <c r="I49" s="31"/>
      <c r="J49" s="27">
        <f>J50+J51</f>
        <v>376488</v>
      </c>
      <c r="K49" s="27">
        <f t="shared" ref="K49:N49" si="106">K50+K51</f>
        <v>1195560</v>
      </c>
      <c r="L49" s="27">
        <f t="shared" si="106"/>
        <v>1106784</v>
      </c>
      <c r="M49" s="27">
        <f t="shared" si="106"/>
        <v>2678832</v>
      </c>
      <c r="N49" s="27">
        <f t="shared" si="106"/>
        <v>24109</v>
      </c>
      <c r="O49" s="31"/>
      <c r="P49" s="27">
        <f t="shared" ref="P49:Q49" si="107">P50+P51</f>
        <v>1506</v>
      </c>
      <c r="Q49" s="27">
        <f t="shared" si="107"/>
        <v>25615</v>
      </c>
    </row>
    <row r="50" spans="1:17" x14ac:dyDescent="0.25">
      <c r="A50" s="23"/>
      <c r="B50" s="28" t="s">
        <v>15</v>
      </c>
      <c r="C50" s="21">
        <f>C52+C53</f>
        <v>20</v>
      </c>
      <c r="D50" s="21">
        <f>D52+D53</f>
        <v>1811</v>
      </c>
      <c r="E50" s="21">
        <f>F50+G50+H50</f>
        <v>1807</v>
      </c>
      <c r="F50" s="21">
        <f t="shared" ref="F50:H50" si="108">F52+F53</f>
        <v>581</v>
      </c>
      <c r="G50" s="21">
        <f t="shared" si="108"/>
        <v>738</v>
      </c>
      <c r="H50" s="21">
        <f t="shared" si="108"/>
        <v>488</v>
      </c>
      <c r="I50" s="21">
        <v>3240</v>
      </c>
      <c r="J50" s="30">
        <f>(I50*F50*0.2)</f>
        <v>376488</v>
      </c>
      <c r="K50" s="30">
        <f>(I50*G50*0.5)</f>
        <v>1195560</v>
      </c>
      <c r="L50" s="30">
        <f>(I50*H50*0.7)</f>
        <v>1106784</v>
      </c>
      <c r="M50" s="30">
        <f>J50+K50+L50</f>
        <v>2678832</v>
      </c>
      <c r="N50" s="30">
        <f>ROUND((M50*9/1000),0)</f>
        <v>24109</v>
      </c>
      <c r="O50" s="30"/>
      <c r="P50" s="30">
        <f>P52+P53</f>
        <v>1506</v>
      </c>
      <c r="Q50" s="30">
        <f>N50+P50</f>
        <v>25615</v>
      </c>
    </row>
    <row r="51" spans="1:17" x14ac:dyDescent="0.25">
      <c r="A51" s="23"/>
      <c r="B51" s="28" t="s">
        <v>16</v>
      </c>
      <c r="C51" s="21"/>
      <c r="D51" s="21"/>
      <c r="E51" s="21"/>
      <c r="F51" s="21"/>
      <c r="G51" s="21"/>
      <c r="H51" s="29"/>
      <c r="I51" s="21"/>
      <c r="J51" s="30"/>
      <c r="K51" s="30"/>
      <c r="L51" s="30"/>
      <c r="M51" s="30"/>
      <c r="N51" s="30"/>
      <c r="O51" s="30"/>
      <c r="P51" s="30"/>
      <c r="Q51" s="30"/>
    </row>
    <row r="52" spans="1:17" x14ac:dyDescent="0.25">
      <c r="A52" s="23"/>
      <c r="B52" s="38" t="s">
        <v>30</v>
      </c>
      <c r="C52" s="39">
        <v>8</v>
      </c>
      <c r="D52" s="39">
        <v>1062</v>
      </c>
      <c r="E52" s="21">
        <f t="shared" ref="E52:E53" si="109">F52+G52+H52</f>
        <v>1059</v>
      </c>
      <c r="F52" s="39">
        <f>344-24</f>
        <v>320</v>
      </c>
      <c r="G52" s="39">
        <v>447</v>
      </c>
      <c r="H52" s="39">
        <v>292</v>
      </c>
      <c r="I52" s="39"/>
      <c r="J52" s="40"/>
      <c r="K52" s="40"/>
      <c r="L52" s="40"/>
      <c r="M52" s="40"/>
      <c r="N52" s="40"/>
      <c r="O52" s="30">
        <v>621</v>
      </c>
      <c r="P52" s="40">
        <f>ROUND(D52*O52/1000,0)</f>
        <v>660</v>
      </c>
      <c r="Q52" s="44"/>
    </row>
    <row r="53" spans="1:17" x14ac:dyDescent="0.25">
      <c r="A53" s="23"/>
      <c r="B53" s="38" t="s">
        <v>31</v>
      </c>
      <c r="C53" s="39">
        <v>12</v>
      </c>
      <c r="D53" s="39">
        <v>749</v>
      </c>
      <c r="E53" s="21">
        <f t="shared" si="109"/>
        <v>748</v>
      </c>
      <c r="F53" s="39">
        <f>278-17</f>
        <v>261</v>
      </c>
      <c r="G53" s="39">
        <v>291</v>
      </c>
      <c r="H53" s="39">
        <v>196</v>
      </c>
      <c r="I53" s="39"/>
      <c r="J53" s="40"/>
      <c r="K53" s="40"/>
      <c r="L53" s="40"/>
      <c r="M53" s="40"/>
      <c r="N53" s="40"/>
      <c r="O53" s="40">
        <v>1130</v>
      </c>
      <c r="P53" s="40">
        <f>ROUND(D53*O53/1000,0)</f>
        <v>846</v>
      </c>
      <c r="Q53" s="44"/>
    </row>
    <row r="54" spans="1:17" s="16" customFormat="1" x14ac:dyDescent="0.2">
      <c r="A54" s="24">
        <v>16</v>
      </c>
      <c r="B54" s="25" t="s">
        <v>33</v>
      </c>
      <c r="C54" s="31">
        <f>C55+C56</f>
        <v>19</v>
      </c>
      <c r="D54" s="31">
        <f t="shared" ref="D54" si="110">D55+D56</f>
        <v>1778</v>
      </c>
      <c r="E54" s="31">
        <f t="shared" ref="E54:H54" si="111">E55+E56</f>
        <v>1774</v>
      </c>
      <c r="F54" s="31">
        <f t="shared" si="111"/>
        <v>430</v>
      </c>
      <c r="G54" s="31">
        <f t="shared" si="111"/>
        <v>690</v>
      </c>
      <c r="H54" s="31">
        <f t="shared" si="111"/>
        <v>654</v>
      </c>
      <c r="I54" s="31"/>
      <c r="J54" s="32">
        <f t="shared" ref="J54:N54" si="112">J55+J56</f>
        <v>292572</v>
      </c>
      <c r="K54" s="32">
        <f t="shared" si="112"/>
        <v>1173690</v>
      </c>
      <c r="L54" s="32">
        <f t="shared" si="112"/>
        <v>1557435.5999999999</v>
      </c>
      <c r="M54" s="32">
        <f t="shared" si="112"/>
        <v>3023697.5999999996</v>
      </c>
      <c r="N54" s="32">
        <f t="shared" si="112"/>
        <v>27213</v>
      </c>
      <c r="O54" s="43"/>
      <c r="P54" s="32">
        <f t="shared" ref="P54:Q54" si="113">P55+P56</f>
        <v>1390</v>
      </c>
      <c r="Q54" s="32">
        <f t="shared" si="113"/>
        <v>28603</v>
      </c>
    </row>
    <row r="55" spans="1:17" x14ac:dyDescent="0.25">
      <c r="A55" s="23"/>
      <c r="B55" s="28" t="s">
        <v>15</v>
      </c>
      <c r="C55" s="21">
        <f>C57+C58</f>
        <v>19</v>
      </c>
      <c r="D55" s="21">
        <f>D57+D58</f>
        <v>1778</v>
      </c>
      <c r="E55" s="21">
        <f>F55+G55+H55</f>
        <v>1774</v>
      </c>
      <c r="F55" s="21">
        <f>F57+F58</f>
        <v>430</v>
      </c>
      <c r="G55" s="21">
        <f t="shared" ref="G55:H55" si="114">G57+G58</f>
        <v>690</v>
      </c>
      <c r="H55" s="21">
        <f t="shared" si="114"/>
        <v>654</v>
      </c>
      <c r="I55" s="21">
        <v>3402</v>
      </c>
      <c r="J55" s="30">
        <f>(I55*F55*0.2)</f>
        <v>292572</v>
      </c>
      <c r="K55" s="30">
        <f>(I55*G55*0.5)</f>
        <v>1173690</v>
      </c>
      <c r="L55" s="30">
        <f>(I55*H55*0.7)</f>
        <v>1557435.5999999999</v>
      </c>
      <c r="M55" s="30">
        <f>J55+K55+L55</f>
        <v>3023697.5999999996</v>
      </c>
      <c r="N55" s="30">
        <f>ROUND((M55*9/1000),0)</f>
        <v>27213</v>
      </c>
      <c r="O55" s="30"/>
      <c r="P55" s="30">
        <f>P57+P58</f>
        <v>1390</v>
      </c>
      <c r="Q55" s="30">
        <f>N55+P55</f>
        <v>28603</v>
      </c>
    </row>
    <row r="56" spans="1:17" x14ac:dyDescent="0.25">
      <c r="A56" s="23"/>
      <c r="B56" s="28" t="s">
        <v>16</v>
      </c>
      <c r="C56" s="21"/>
      <c r="D56" s="21"/>
      <c r="E56" s="21"/>
      <c r="F56" s="21"/>
      <c r="G56" s="21"/>
      <c r="H56" s="29"/>
      <c r="I56" s="21"/>
      <c r="J56" s="30"/>
      <c r="K56" s="30"/>
      <c r="L56" s="30"/>
      <c r="M56" s="30"/>
      <c r="N56" s="30"/>
      <c r="O56" s="30"/>
      <c r="P56" s="30"/>
      <c r="Q56" s="37"/>
    </row>
    <row r="57" spans="1:17" x14ac:dyDescent="0.25">
      <c r="A57" s="23"/>
      <c r="B57" s="38" t="s">
        <v>30</v>
      </c>
      <c r="C57" s="39">
        <v>8</v>
      </c>
      <c r="D57" s="39">
        <v>1216</v>
      </c>
      <c r="E57" s="21">
        <f t="shared" ref="E57:E58" si="115">F57+G57+H57</f>
        <v>1215</v>
      </c>
      <c r="F57" s="39">
        <f>421-123</f>
        <v>298</v>
      </c>
      <c r="G57" s="39">
        <v>482</v>
      </c>
      <c r="H57" s="39">
        <v>435</v>
      </c>
      <c r="I57" s="39"/>
      <c r="J57" s="40"/>
      <c r="K57" s="40"/>
      <c r="L57" s="40"/>
      <c r="M57" s="40"/>
      <c r="N57" s="40"/>
      <c r="O57" s="30">
        <v>621</v>
      </c>
      <c r="P57" s="40">
        <f>ROUND(D57*O57/1000,0)</f>
        <v>755</v>
      </c>
      <c r="Q57" s="44"/>
    </row>
    <row r="58" spans="1:17" x14ac:dyDescent="0.25">
      <c r="A58" s="23"/>
      <c r="B58" s="38" t="s">
        <v>31</v>
      </c>
      <c r="C58" s="39">
        <v>11</v>
      </c>
      <c r="D58" s="39">
        <v>562</v>
      </c>
      <c r="E58" s="21">
        <f t="shared" si="115"/>
        <v>559</v>
      </c>
      <c r="F58" s="39">
        <f>212-80</f>
        <v>132</v>
      </c>
      <c r="G58" s="39">
        <v>208</v>
      </c>
      <c r="H58" s="39">
        <v>219</v>
      </c>
      <c r="I58" s="39"/>
      <c r="J58" s="40"/>
      <c r="K58" s="40"/>
      <c r="L58" s="40"/>
      <c r="M58" s="40"/>
      <c r="N58" s="40"/>
      <c r="O58" s="40">
        <v>1130</v>
      </c>
      <c r="P58" s="40">
        <f>ROUND(D58*O58/1000,0)</f>
        <v>635</v>
      </c>
      <c r="Q58" s="44"/>
    </row>
    <row r="59" spans="1:17" s="16" customFormat="1" x14ac:dyDescent="0.2">
      <c r="A59" s="24">
        <v>17</v>
      </c>
      <c r="B59" s="25" t="s">
        <v>34</v>
      </c>
      <c r="C59" s="31">
        <f>C60+C61</f>
        <v>22</v>
      </c>
      <c r="D59" s="31">
        <f t="shared" ref="D59" si="116">D60+D61</f>
        <v>1734</v>
      </c>
      <c r="E59" s="31">
        <f>E60+E61</f>
        <v>1693</v>
      </c>
      <c r="F59" s="31">
        <f>F60+F61</f>
        <v>524</v>
      </c>
      <c r="G59" s="31">
        <f t="shared" ref="G59:H59" si="117">G60+G61</f>
        <v>745</v>
      </c>
      <c r="H59" s="31">
        <f t="shared" si="117"/>
        <v>424</v>
      </c>
      <c r="I59" s="31"/>
      <c r="J59" s="27">
        <f>J60+J61</f>
        <v>334242</v>
      </c>
      <c r="K59" s="27">
        <f t="shared" ref="K59:N59" si="118">K60+K61</f>
        <v>1190323</v>
      </c>
      <c r="L59" s="27">
        <f t="shared" si="118"/>
        <v>948977.39999999991</v>
      </c>
      <c r="M59" s="27">
        <f t="shared" si="118"/>
        <v>2473542.4</v>
      </c>
      <c r="N59" s="27">
        <f t="shared" si="118"/>
        <v>22262</v>
      </c>
      <c r="O59" s="31"/>
      <c r="P59" s="27">
        <f>P60+P61</f>
        <v>1598</v>
      </c>
      <c r="Q59" s="27">
        <f t="shared" ref="Q59" si="119">Q60+Q61</f>
        <v>23860</v>
      </c>
    </row>
    <row r="60" spans="1:17" x14ac:dyDescent="0.25">
      <c r="A60" s="23"/>
      <c r="B60" s="28" t="s">
        <v>15</v>
      </c>
      <c r="C60" s="21">
        <v>21</v>
      </c>
      <c r="D60" s="21">
        <v>1722</v>
      </c>
      <c r="E60" s="21">
        <f t="shared" ref="E60:E63" si="120">F60+G60+H60</f>
        <v>1684</v>
      </c>
      <c r="F60" s="21">
        <f>F62+F63-F61</f>
        <v>519</v>
      </c>
      <c r="G60" s="21">
        <f t="shared" ref="G60:H60" si="121">G62+G63-G61</f>
        <v>742</v>
      </c>
      <c r="H60" s="21">
        <f t="shared" si="121"/>
        <v>423</v>
      </c>
      <c r="I60" s="21">
        <v>3200</v>
      </c>
      <c r="J60" s="30">
        <f t="shared" ref="J60:J61" si="122">(I60*F60*0.2)</f>
        <v>332160</v>
      </c>
      <c r="K60" s="30">
        <f t="shared" ref="K60:K61" si="123">(I60*G60*0.5)</f>
        <v>1187200</v>
      </c>
      <c r="L60" s="30">
        <f t="shared" ref="L60:L61" si="124">(I60*H60*0.7)</f>
        <v>947519.99999999988</v>
      </c>
      <c r="M60" s="30">
        <f t="shared" ref="M60:M61" si="125">J60+K60+L60</f>
        <v>2466880</v>
      </c>
      <c r="N60" s="30">
        <f t="shared" ref="N60:N61" si="126">ROUND((M60*9/1000),0)</f>
        <v>22202</v>
      </c>
      <c r="O60" s="30"/>
      <c r="P60" s="30">
        <v>1591</v>
      </c>
      <c r="Q60" s="30">
        <f t="shared" ref="Q60:Q61" si="127">N60+P60</f>
        <v>23793</v>
      </c>
    </row>
    <row r="61" spans="1:17" x14ac:dyDescent="0.25">
      <c r="A61" s="23"/>
      <c r="B61" s="28" t="s">
        <v>16</v>
      </c>
      <c r="C61" s="21">
        <v>1</v>
      </c>
      <c r="D61" s="21">
        <v>12</v>
      </c>
      <c r="E61" s="21">
        <f t="shared" si="120"/>
        <v>9</v>
      </c>
      <c r="F61" s="21">
        <v>5</v>
      </c>
      <c r="G61" s="21">
        <v>3</v>
      </c>
      <c r="H61" s="29">
        <v>1</v>
      </c>
      <c r="I61" s="21">
        <v>2082</v>
      </c>
      <c r="J61" s="30">
        <f t="shared" si="122"/>
        <v>2082</v>
      </c>
      <c r="K61" s="30">
        <f t="shared" si="123"/>
        <v>3123</v>
      </c>
      <c r="L61" s="30">
        <f t="shared" si="124"/>
        <v>1457.3999999999999</v>
      </c>
      <c r="M61" s="30">
        <f t="shared" si="125"/>
        <v>6662.4</v>
      </c>
      <c r="N61" s="30">
        <f t="shared" si="126"/>
        <v>60</v>
      </c>
      <c r="O61" s="30">
        <v>621</v>
      </c>
      <c r="P61" s="30">
        <f>ROUND(D61*O61/1000,0)</f>
        <v>7</v>
      </c>
      <c r="Q61" s="30">
        <f t="shared" si="127"/>
        <v>67</v>
      </c>
    </row>
    <row r="62" spans="1:17" x14ac:dyDescent="0.25">
      <c r="A62" s="23"/>
      <c r="B62" s="38" t="s">
        <v>30</v>
      </c>
      <c r="C62" s="39">
        <f>6+1</f>
        <v>7</v>
      </c>
      <c r="D62" s="39">
        <f>997+12</f>
        <v>1009</v>
      </c>
      <c r="E62" s="21">
        <f t="shared" si="120"/>
        <v>973</v>
      </c>
      <c r="F62" s="39">
        <f>426-130</f>
        <v>296</v>
      </c>
      <c r="G62" s="39">
        <v>453</v>
      </c>
      <c r="H62" s="39">
        <v>224</v>
      </c>
      <c r="I62" s="39"/>
      <c r="J62" s="40"/>
      <c r="K62" s="40"/>
      <c r="L62" s="40"/>
      <c r="M62" s="40"/>
      <c r="N62" s="40"/>
      <c r="O62" s="30">
        <v>621</v>
      </c>
      <c r="P62" s="40">
        <f>ROUND(D62*O62/1000,0)</f>
        <v>627</v>
      </c>
      <c r="Q62" s="44"/>
    </row>
    <row r="63" spans="1:17" x14ac:dyDescent="0.25">
      <c r="A63" s="23"/>
      <c r="B63" s="38" t="s">
        <v>31</v>
      </c>
      <c r="C63" s="39">
        <v>15</v>
      </c>
      <c r="D63" s="39">
        <v>725</v>
      </c>
      <c r="E63" s="21">
        <f t="shared" si="120"/>
        <v>720</v>
      </c>
      <c r="F63" s="39">
        <f>283-55</f>
        <v>228</v>
      </c>
      <c r="G63" s="39">
        <v>292</v>
      </c>
      <c r="H63" s="39">
        <v>200</v>
      </c>
      <c r="I63" s="39"/>
      <c r="J63" s="40"/>
      <c r="K63" s="40"/>
      <c r="L63" s="40"/>
      <c r="M63" s="40"/>
      <c r="N63" s="40"/>
      <c r="O63" s="40">
        <v>1130</v>
      </c>
      <c r="P63" s="40">
        <f>ROUND(D63*O63/1000,0)</f>
        <v>819</v>
      </c>
      <c r="Q63" s="44"/>
    </row>
    <row r="64" spans="1:17" s="16" customFormat="1" x14ac:dyDescent="0.2">
      <c r="A64" s="24">
        <v>18</v>
      </c>
      <c r="B64" s="25" t="s">
        <v>35</v>
      </c>
      <c r="C64" s="31">
        <f>C65+C66</f>
        <v>26</v>
      </c>
      <c r="D64" s="31">
        <f t="shared" ref="D64" si="128">D65+D66</f>
        <v>8167</v>
      </c>
      <c r="E64" s="31">
        <f t="shared" ref="E64" si="129">E65+E66</f>
        <v>6705</v>
      </c>
      <c r="F64" s="31">
        <f>F65+F66</f>
        <v>1730</v>
      </c>
      <c r="G64" s="31">
        <f t="shared" ref="G64:H64" si="130">G65+G66</f>
        <v>3514</v>
      </c>
      <c r="H64" s="31">
        <f t="shared" si="130"/>
        <v>1461</v>
      </c>
      <c r="I64" s="31"/>
      <c r="J64" s="27">
        <f>J65+J66</f>
        <v>1223356.2</v>
      </c>
      <c r="K64" s="27">
        <f t="shared" ref="K64:N64" si="131">K65+K66</f>
        <v>6241489</v>
      </c>
      <c r="L64" s="27">
        <f t="shared" si="131"/>
        <v>3637469.5</v>
      </c>
      <c r="M64" s="27">
        <f t="shared" si="131"/>
        <v>11102314.699999999</v>
      </c>
      <c r="N64" s="27">
        <f t="shared" si="131"/>
        <v>99921</v>
      </c>
      <c r="O64" s="37"/>
      <c r="P64" s="27">
        <f t="shared" ref="P64:Q64" si="132">P65+P66</f>
        <v>6107</v>
      </c>
      <c r="Q64" s="27">
        <f t="shared" si="132"/>
        <v>106028</v>
      </c>
    </row>
    <row r="65" spans="1:17" x14ac:dyDescent="0.25">
      <c r="A65" s="23"/>
      <c r="B65" s="28" t="s">
        <v>15</v>
      </c>
      <c r="C65" s="21">
        <v>25</v>
      </c>
      <c r="D65" s="21">
        <v>8047</v>
      </c>
      <c r="E65" s="21">
        <f t="shared" ref="E65:E71" si="133">F65+G65+H65</f>
        <v>6606</v>
      </c>
      <c r="F65" s="21">
        <f>F67+F68-F66</f>
        <v>1689</v>
      </c>
      <c r="G65" s="21">
        <f t="shared" ref="G65:H65" si="134">G67+G68-G66</f>
        <v>3470</v>
      </c>
      <c r="H65" s="21">
        <f t="shared" si="134"/>
        <v>1447</v>
      </c>
      <c r="I65" s="21">
        <v>3571</v>
      </c>
      <c r="J65" s="30">
        <f t="shared" ref="J65:J66" si="135">(I65*F65*0.2)</f>
        <v>1206283.8</v>
      </c>
      <c r="K65" s="30">
        <f t="shared" ref="K65:K66" si="136">(I65*G65*0.5)</f>
        <v>6195685</v>
      </c>
      <c r="L65" s="30">
        <f t="shared" ref="L65:L66" si="137">(I65*H65*0.7)</f>
        <v>3617065.9</v>
      </c>
      <c r="M65" s="30">
        <f t="shared" ref="M65:M66" si="138">J65+K65+L65</f>
        <v>11019034.699999999</v>
      </c>
      <c r="N65" s="30">
        <f t="shared" ref="N65:N66" si="139">ROUND((M65*9/1000),0)</f>
        <v>99171</v>
      </c>
      <c r="O65" s="30"/>
      <c r="P65" s="30">
        <v>5971</v>
      </c>
      <c r="Q65" s="30">
        <f t="shared" ref="Q65:Q66" si="140">N65+P65</f>
        <v>105142</v>
      </c>
    </row>
    <row r="66" spans="1:17" x14ac:dyDescent="0.25">
      <c r="A66" s="23"/>
      <c r="B66" s="28" t="s">
        <v>16</v>
      </c>
      <c r="C66" s="21">
        <v>1</v>
      </c>
      <c r="D66" s="21">
        <v>120</v>
      </c>
      <c r="E66" s="21">
        <f t="shared" si="133"/>
        <v>99</v>
      </c>
      <c r="F66" s="21">
        <v>41</v>
      </c>
      <c r="G66" s="21">
        <v>44</v>
      </c>
      <c r="H66" s="29">
        <v>14</v>
      </c>
      <c r="I66" s="21">
        <v>2082</v>
      </c>
      <c r="J66" s="30">
        <f t="shared" si="135"/>
        <v>17072.400000000001</v>
      </c>
      <c r="K66" s="30">
        <f t="shared" si="136"/>
        <v>45804</v>
      </c>
      <c r="L66" s="30">
        <f t="shared" si="137"/>
        <v>20403.599999999999</v>
      </c>
      <c r="M66" s="30">
        <f t="shared" si="138"/>
        <v>83280</v>
      </c>
      <c r="N66" s="30">
        <f t="shared" si="139"/>
        <v>750</v>
      </c>
      <c r="O66" s="40">
        <v>1130</v>
      </c>
      <c r="P66" s="30">
        <f>ROUND(D66*O66/1000,0)</f>
        <v>136</v>
      </c>
      <c r="Q66" s="30">
        <f t="shared" si="140"/>
        <v>886</v>
      </c>
    </row>
    <row r="67" spans="1:17" x14ac:dyDescent="0.25">
      <c r="A67" s="23"/>
      <c r="B67" s="38" t="s">
        <v>30</v>
      </c>
      <c r="C67" s="39">
        <v>13</v>
      </c>
      <c r="D67" s="39">
        <v>5970</v>
      </c>
      <c r="E67" s="21">
        <f t="shared" si="133"/>
        <v>4898</v>
      </c>
      <c r="F67" s="39">
        <v>1217</v>
      </c>
      <c r="G67" s="39">
        <v>2616</v>
      </c>
      <c r="H67" s="39">
        <v>1065</v>
      </c>
      <c r="I67" s="39"/>
      <c r="J67" s="40"/>
      <c r="K67" s="40"/>
      <c r="L67" s="40"/>
      <c r="M67" s="40"/>
      <c r="N67" s="40"/>
      <c r="O67" s="30">
        <v>621</v>
      </c>
      <c r="P67" s="40">
        <f>ROUND(D67*O67/1000,0)</f>
        <v>3707</v>
      </c>
      <c r="Q67" s="44"/>
    </row>
    <row r="68" spans="1:17" x14ac:dyDescent="0.25">
      <c r="A68" s="23"/>
      <c r="B68" s="38" t="s">
        <v>31</v>
      </c>
      <c r="C68" s="39">
        <f>12+1</f>
        <v>13</v>
      </c>
      <c r="D68" s="39">
        <f>2077+120</f>
        <v>2197</v>
      </c>
      <c r="E68" s="21">
        <f t="shared" si="133"/>
        <v>1807</v>
      </c>
      <c r="F68" s="39">
        <v>513</v>
      </c>
      <c r="G68" s="39">
        <v>898</v>
      </c>
      <c r="H68" s="39">
        <v>396</v>
      </c>
      <c r="I68" s="39"/>
      <c r="J68" s="40"/>
      <c r="K68" s="40"/>
      <c r="L68" s="40"/>
      <c r="M68" s="40"/>
      <c r="N68" s="40"/>
      <c r="O68" s="40">
        <v>1130</v>
      </c>
      <c r="P68" s="40">
        <f>ROUND(D68*O68/1000,0)+1</f>
        <v>2484</v>
      </c>
      <c r="Q68" s="44"/>
    </row>
    <row r="69" spans="1:17" s="16" customFormat="1" x14ac:dyDescent="0.2">
      <c r="A69" s="24">
        <v>19</v>
      </c>
      <c r="B69" s="25" t="s">
        <v>36</v>
      </c>
      <c r="C69" s="31">
        <f>C70+C71</f>
        <v>10</v>
      </c>
      <c r="D69" s="31">
        <f>D70+D71</f>
        <v>3324</v>
      </c>
      <c r="E69" s="31">
        <f t="shared" ref="E69:H69" si="141">E70+E71</f>
        <v>2902</v>
      </c>
      <c r="F69" s="31">
        <f t="shared" si="141"/>
        <v>1064</v>
      </c>
      <c r="G69" s="31">
        <f t="shared" si="141"/>
        <v>1202</v>
      </c>
      <c r="H69" s="31">
        <f t="shared" si="141"/>
        <v>636</v>
      </c>
      <c r="I69" s="31"/>
      <c r="J69" s="27">
        <f>J70+J71</f>
        <v>671894.4</v>
      </c>
      <c r="K69" s="27">
        <f t="shared" ref="K69:N69" si="142">K70+K71</f>
        <v>1906142</v>
      </c>
      <c r="L69" s="27">
        <f t="shared" si="142"/>
        <v>1412543.9999999998</v>
      </c>
      <c r="M69" s="27">
        <f t="shared" si="142"/>
        <v>3990580.4</v>
      </c>
      <c r="N69" s="27">
        <f t="shared" si="142"/>
        <v>35915</v>
      </c>
      <c r="O69" s="37"/>
      <c r="P69" s="27">
        <f t="shared" ref="P69:Q69" si="143">P70+P71</f>
        <v>2149</v>
      </c>
      <c r="Q69" s="27">
        <f t="shared" si="143"/>
        <v>38064</v>
      </c>
    </row>
    <row r="70" spans="1:17" x14ac:dyDescent="0.25">
      <c r="A70" s="23"/>
      <c r="B70" s="28" t="s">
        <v>15</v>
      </c>
      <c r="C70" s="21">
        <f>C72+C73</f>
        <v>10</v>
      </c>
      <c r="D70" s="21">
        <v>3294</v>
      </c>
      <c r="E70" s="21">
        <f t="shared" si="133"/>
        <v>2872</v>
      </c>
      <c r="F70" s="21">
        <f>F72+F73-F71</f>
        <v>1044</v>
      </c>
      <c r="G70" s="21">
        <f t="shared" ref="G70:H70" si="144">G72+G73-G71</f>
        <v>1195</v>
      </c>
      <c r="H70" s="21">
        <f t="shared" si="144"/>
        <v>633</v>
      </c>
      <c r="I70" s="21">
        <v>3178</v>
      </c>
      <c r="J70" s="30">
        <f>(I70*F70*0.2)</f>
        <v>663566.4</v>
      </c>
      <c r="K70" s="30">
        <f>(I70*G70*0.5)</f>
        <v>1898855</v>
      </c>
      <c r="L70" s="30">
        <f>(I70*H70*0.7)</f>
        <v>1408171.7999999998</v>
      </c>
      <c r="M70" s="30">
        <f t="shared" ref="M70:M71" si="145">J70+K70+L70</f>
        <v>3970593.1999999997</v>
      </c>
      <c r="N70" s="30">
        <f t="shared" ref="N70:N71" si="146">ROUND((M70*9/1000),0)</f>
        <v>35735</v>
      </c>
      <c r="O70" s="30"/>
      <c r="P70" s="30">
        <f t="shared" ref="P70" si="147">P72+P73</f>
        <v>2130</v>
      </c>
      <c r="Q70" s="30">
        <f t="shared" ref="Q70:Q71" si="148">N70+P70</f>
        <v>37865</v>
      </c>
    </row>
    <row r="71" spans="1:17" x14ac:dyDescent="0.25">
      <c r="A71" s="23"/>
      <c r="B71" s="28" t="s">
        <v>16</v>
      </c>
      <c r="C71" s="21"/>
      <c r="D71" s="21">
        <v>30</v>
      </c>
      <c r="E71" s="21">
        <f t="shared" si="133"/>
        <v>30</v>
      </c>
      <c r="F71" s="21">
        <v>20</v>
      </c>
      <c r="G71" s="21">
        <v>7</v>
      </c>
      <c r="H71" s="29">
        <v>3</v>
      </c>
      <c r="I71" s="21">
        <v>2082</v>
      </c>
      <c r="J71" s="30">
        <f t="shared" ref="J71" si="149">(I71*F71*0.2)</f>
        <v>8328</v>
      </c>
      <c r="K71" s="30">
        <f t="shared" ref="K71" si="150">(I71*G71*0.5)</f>
        <v>7287</v>
      </c>
      <c r="L71" s="30">
        <f t="shared" ref="L71" si="151">(I71*H71*0.7)</f>
        <v>4372.2</v>
      </c>
      <c r="M71" s="30">
        <f t="shared" si="145"/>
        <v>19987.2</v>
      </c>
      <c r="N71" s="30">
        <f t="shared" si="146"/>
        <v>180</v>
      </c>
      <c r="O71" s="30">
        <v>621</v>
      </c>
      <c r="P71" s="30">
        <f>ROUND(D71*O71/1000,0)</f>
        <v>19</v>
      </c>
      <c r="Q71" s="30">
        <f t="shared" si="148"/>
        <v>199</v>
      </c>
    </row>
    <row r="72" spans="1:17" x14ac:dyDescent="0.25">
      <c r="A72" s="23"/>
      <c r="B72" s="38" t="s">
        <v>30</v>
      </c>
      <c r="C72" s="39">
        <v>9</v>
      </c>
      <c r="D72" s="39">
        <f>3164+30</f>
        <v>3194</v>
      </c>
      <c r="E72" s="21">
        <f>F72+G72+H72</f>
        <v>2774</v>
      </c>
      <c r="F72" s="39">
        <v>1028</v>
      </c>
      <c r="G72" s="39">
        <v>1143</v>
      </c>
      <c r="H72" s="39">
        <v>603</v>
      </c>
      <c r="I72" s="39"/>
      <c r="J72" s="40"/>
      <c r="K72" s="40"/>
      <c r="L72" s="40"/>
      <c r="M72" s="40"/>
      <c r="N72" s="40"/>
      <c r="O72" s="30">
        <v>621</v>
      </c>
      <c r="P72" s="40">
        <f>ROUND(D72*O72/1000,0)</f>
        <v>1983</v>
      </c>
      <c r="Q72" s="44"/>
    </row>
    <row r="73" spans="1:17" x14ac:dyDescent="0.25">
      <c r="A73" s="23"/>
      <c r="B73" s="38" t="s">
        <v>31</v>
      </c>
      <c r="C73" s="39">
        <v>1</v>
      </c>
      <c r="D73" s="39">
        <v>130</v>
      </c>
      <c r="E73" s="21">
        <f>F73+G73+H73</f>
        <v>128</v>
      </c>
      <c r="F73" s="39">
        <v>36</v>
      </c>
      <c r="G73" s="39">
        <v>59</v>
      </c>
      <c r="H73" s="39">
        <v>33</v>
      </c>
      <c r="I73" s="39"/>
      <c r="J73" s="40"/>
      <c r="K73" s="40"/>
      <c r="L73" s="40"/>
      <c r="M73" s="40"/>
      <c r="N73" s="40"/>
      <c r="O73" s="40">
        <v>1130</v>
      </c>
      <c r="P73" s="40">
        <f>ROUND(D73*O73/1000,0)</f>
        <v>147</v>
      </c>
      <c r="Q73" s="44"/>
    </row>
    <row r="74" spans="1:17" s="16" customFormat="1" x14ac:dyDescent="0.2">
      <c r="A74" s="24">
        <v>20</v>
      </c>
      <c r="B74" s="25" t="s">
        <v>37</v>
      </c>
      <c r="C74" s="31">
        <f>C75+C76</f>
        <v>24</v>
      </c>
      <c r="D74" s="31">
        <f t="shared" ref="D74" si="152">D75+D76</f>
        <v>718</v>
      </c>
      <c r="E74" s="31">
        <f t="shared" ref="E74:H74" si="153">E75+E76</f>
        <v>715</v>
      </c>
      <c r="F74" s="31">
        <f t="shared" si="153"/>
        <v>211</v>
      </c>
      <c r="G74" s="31">
        <f t="shared" si="153"/>
        <v>280</v>
      </c>
      <c r="H74" s="31">
        <f t="shared" si="153"/>
        <v>224</v>
      </c>
      <c r="I74" s="31"/>
      <c r="J74" s="27">
        <f>J75+J76</f>
        <v>92840</v>
      </c>
      <c r="K74" s="27">
        <f t="shared" ref="K74:N74" si="154">K75+K76</f>
        <v>308000</v>
      </c>
      <c r="L74" s="27">
        <f t="shared" si="154"/>
        <v>344960</v>
      </c>
      <c r="M74" s="27">
        <f t="shared" si="154"/>
        <v>745800</v>
      </c>
      <c r="N74" s="27">
        <f t="shared" si="154"/>
        <v>6712</v>
      </c>
      <c r="O74" s="37"/>
      <c r="P74" s="27">
        <f t="shared" ref="P74:Q74" si="155">P75+P76</f>
        <v>811</v>
      </c>
      <c r="Q74" s="27">
        <f t="shared" si="155"/>
        <v>7523</v>
      </c>
    </row>
    <row r="75" spans="1:17" x14ac:dyDescent="0.25">
      <c r="A75" s="23"/>
      <c r="B75" s="28" t="s">
        <v>15</v>
      </c>
      <c r="C75" s="21">
        <f>C77+C78</f>
        <v>24</v>
      </c>
      <c r="D75" s="21">
        <v>718</v>
      </c>
      <c r="E75" s="21">
        <f>F75+G75+H75</f>
        <v>715</v>
      </c>
      <c r="F75" s="21">
        <f t="shared" ref="F75:H75" si="156">F77+F78</f>
        <v>211</v>
      </c>
      <c r="G75" s="21">
        <f t="shared" si="156"/>
        <v>280</v>
      </c>
      <c r="H75" s="21">
        <f t="shared" si="156"/>
        <v>224</v>
      </c>
      <c r="I75" s="21">
        <v>2200</v>
      </c>
      <c r="J75" s="30">
        <f>(I75*F75*0.2)</f>
        <v>92840</v>
      </c>
      <c r="K75" s="30">
        <f>(I75*G75*0.5)</f>
        <v>308000</v>
      </c>
      <c r="L75" s="30">
        <f>(I75*H75*0.7)</f>
        <v>344960</v>
      </c>
      <c r="M75" s="30">
        <f t="shared" ref="M75" si="157">J75+K75+L75</f>
        <v>745800</v>
      </c>
      <c r="N75" s="30">
        <f t="shared" ref="N75" si="158">ROUND((M75*9/1000),0)</f>
        <v>6712</v>
      </c>
      <c r="O75" s="30"/>
      <c r="P75" s="30">
        <f t="shared" ref="P75" si="159">P77+P78</f>
        <v>811</v>
      </c>
      <c r="Q75" s="30">
        <f t="shared" ref="Q75" si="160">N75+P75</f>
        <v>7523</v>
      </c>
    </row>
    <row r="76" spans="1:17" x14ac:dyDescent="0.25">
      <c r="A76" s="23"/>
      <c r="B76" s="28" t="s">
        <v>16</v>
      </c>
      <c r="C76" s="21"/>
      <c r="D76" s="21"/>
      <c r="E76" s="21"/>
      <c r="F76" s="21"/>
      <c r="G76" s="21"/>
      <c r="H76" s="29"/>
      <c r="I76" s="21"/>
      <c r="J76" s="30"/>
      <c r="K76" s="30"/>
      <c r="L76" s="30"/>
      <c r="M76" s="30"/>
      <c r="N76" s="30"/>
      <c r="O76" s="30"/>
      <c r="P76" s="30"/>
      <c r="Q76" s="37"/>
    </row>
    <row r="77" spans="1:17" x14ac:dyDescent="0.25">
      <c r="A77" s="23"/>
      <c r="B77" s="38" t="s">
        <v>30</v>
      </c>
      <c r="C77" s="39"/>
      <c r="D77" s="39"/>
      <c r="E77" s="21"/>
      <c r="F77" s="39"/>
      <c r="G77" s="39"/>
      <c r="H77" s="39"/>
      <c r="I77" s="39"/>
      <c r="J77" s="40"/>
      <c r="K77" s="40"/>
      <c r="L77" s="40"/>
      <c r="M77" s="40"/>
      <c r="N77" s="40"/>
      <c r="O77" s="40"/>
      <c r="P77" s="40"/>
      <c r="Q77" s="44"/>
    </row>
    <row r="78" spans="1:17" x14ac:dyDescent="0.25">
      <c r="A78" s="23"/>
      <c r="B78" s="38" t="s">
        <v>31</v>
      </c>
      <c r="C78" s="39">
        <v>24</v>
      </c>
      <c r="D78" s="39">
        <v>718</v>
      </c>
      <c r="E78" s="21">
        <f>F78+G78+H78</f>
        <v>715</v>
      </c>
      <c r="F78" s="39">
        <f>301-90</f>
        <v>211</v>
      </c>
      <c r="G78" s="39">
        <f>380-100</f>
        <v>280</v>
      </c>
      <c r="H78" s="39">
        <f>324-100</f>
        <v>224</v>
      </c>
      <c r="I78" s="39"/>
      <c r="J78" s="40"/>
      <c r="K78" s="40"/>
      <c r="L78" s="40"/>
      <c r="M78" s="40"/>
      <c r="N78" s="40"/>
      <c r="O78" s="40">
        <v>1130</v>
      </c>
      <c r="P78" s="40">
        <f>ROUND(D78*O78/1000,0)</f>
        <v>811</v>
      </c>
      <c r="Q78" s="44"/>
    </row>
    <row r="79" spans="1:17" s="16" customFormat="1" x14ac:dyDescent="0.2">
      <c r="A79" s="24">
        <v>21</v>
      </c>
      <c r="B79" s="25" t="s">
        <v>38</v>
      </c>
      <c r="C79" s="31">
        <f>C80+C81</f>
        <v>16</v>
      </c>
      <c r="D79" s="31">
        <f t="shared" ref="D79" si="161">D80+D81</f>
        <v>1800</v>
      </c>
      <c r="E79" s="31">
        <f t="shared" ref="E79:H79" si="162">E80+E81</f>
        <v>1792</v>
      </c>
      <c r="F79" s="31">
        <f t="shared" si="162"/>
        <v>916</v>
      </c>
      <c r="G79" s="31">
        <f t="shared" si="162"/>
        <v>569</v>
      </c>
      <c r="H79" s="31">
        <f t="shared" si="162"/>
        <v>307</v>
      </c>
      <c r="I79" s="31"/>
      <c r="J79" s="27">
        <f>J80+J81</f>
        <v>476320</v>
      </c>
      <c r="K79" s="27">
        <f t="shared" ref="K79:N79" si="163">K80+K81</f>
        <v>739700</v>
      </c>
      <c r="L79" s="27">
        <f t="shared" si="163"/>
        <v>558740</v>
      </c>
      <c r="M79" s="27">
        <f t="shared" si="163"/>
        <v>1774760</v>
      </c>
      <c r="N79" s="27">
        <f t="shared" si="163"/>
        <v>15973</v>
      </c>
      <c r="O79" s="37"/>
      <c r="P79" s="37">
        <f>P80+P81</f>
        <v>1317</v>
      </c>
      <c r="Q79" s="37">
        <f>Q80+Q81</f>
        <v>17290</v>
      </c>
    </row>
    <row r="80" spans="1:17" x14ac:dyDescent="0.25">
      <c r="A80" s="23"/>
      <c r="B80" s="28" t="s">
        <v>15</v>
      </c>
      <c r="C80" s="21">
        <f>C82+C83</f>
        <v>16</v>
      </c>
      <c r="D80" s="21">
        <f>D82+D83</f>
        <v>1800</v>
      </c>
      <c r="E80" s="21">
        <f t="shared" ref="E80:E83" si="164">F80+G80+H80</f>
        <v>1792</v>
      </c>
      <c r="F80" s="21">
        <f>F82+F83</f>
        <v>916</v>
      </c>
      <c r="G80" s="21">
        <f t="shared" ref="G80:H80" si="165">G82+G83</f>
        <v>569</v>
      </c>
      <c r="H80" s="21">
        <f t="shared" si="165"/>
        <v>307</v>
      </c>
      <c r="I80" s="21">
        <v>2600</v>
      </c>
      <c r="J80" s="30">
        <f>(I80*F80*0.2)</f>
        <v>476320</v>
      </c>
      <c r="K80" s="30">
        <f>(I80*G80*0.5)</f>
        <v>739700</v>
      </c>
      <c r="L80" s="30">
        <f>(I80*H80*0.7)</f>
        <v>558740</v>
      </c>
      <c r="M80" s="30">
        <f t="shared" ref="M80" si="166">J80+K80+L80</f>
        <v>1774760</v>
      </c>
      <c r="N80" s="30">
        <f t="shared" ref="N80" si="167">ROUND((M80*9/1000),0)</f>
        <v>15973</v>
      </c>
      <c r="O80" s="30"/>
      <c r="P80" s="30">
        <f t="shared" ref="P80" si="168">P82+P83</f>
        <v>1317</v>
      </c>
      <c r="Q80" s="30">
        <f t="shared" ref="Q80" si="169">N80+P80</f>
        <v>17290</v>
      </c>
    </row>
    <row r="81" spans="1:17" x14ac:dyDescent="0.25">
      <c r="A81" s="23"/>
      <c r="B81" s="28" t="s">
        <v>16</v>
      </c>
      <c r="C81" s="21"/>
      <c r="D81" s="21"/>
      <c r="E81" s="21"/>
      <c r="F81" s="21"/>
      <c r="G81" s="21"/>
      <c r="H81" s="29"/>
      <c r="I81" s="21"/>
      <c r="J81" s="30"/>
      <c r="K81" s="30"/>
      <c r="L81" s="30"/>
      <c r="M81" s="30"/>
      <c r="N81" s="30"/>
      <c r="O81" s="30"/>
      <c r="P81" s="30"/>
      <c r="Q81" s="37"/>
    </row>
    <row r="82" spans="1:17" x14ac:dyDescent="0.25">
      <c r="A82" s="23"/>
      <c r="B82" s="38" t="s">
        <v>30</v>
      </c>
      <c r="C82" s="39">
        <v>5</v>
      </c>
      <c r="D82" s="41">
        <v>1408</v>
      </c>
      <c r="E82" s="21">
        <f t="shared" si="164"/>
        <v>1403</v>
      </c>
      <c r="F82" s="39">
        <f>462+350</f>
        <v>812</v>
      </c>
      <c r="G82" s="39">
        <v>378</v>
      </c>
      <c r="H82" s="39">
        <v>213</v>
      </c>
      <c r="I82" s="35"/>
      <c r="J82" s="40"/>
      <c r="K82" s="40"/>
      <c r="L82" s="40"/>
      <c r="M82" s="40"/>
      <c r="N82" s="40"/>
      <c r="O82" s="30">
        <v>621</v>
      </c>
      <c r="P82" s="40">
        <f>ROUND(D82*O82/1000,0)</f>
        <v>874</v>
      </c>
      <c r="Q82" s="44"/>
    </row>
    <row r="83" spans="1:17" x14ac:dyDescent="0.25">
      <c r="A83" s="23"/>
      <c r="B83" s="38" t="s">
        <v>31</v>
      </c>
      <c r="C83" s="39">
        <v>11</v>
      </c>
      <c r="D83" s="41">
        <v>392</v>
      </c>
      <c r="E83" s="21">
        <f t="shared" si="164"/>
        <v>389</v>
      </c>
      <c r="F83" s="39">
        <f>209-105</f>
        <v>104</v>
      </c>
      <c r="G83" s="39">
        <f>341-150</f>
        <v>191</v>
      </c>
      <c r="H83" s="39">
        <f>144-50</f>
        <v>94</v>
      </c>
      <c r="I83" s="35"/>
      <c r="J83" s="40"/>
      <c r="K83" s="40"/>
      <c r="L83" s="40"/>
      <c r="M83" s="40"/>
      <c r="N83" s="40"/>
      <c r="O83" s="40">
        <v>1130</v>
      </c>
      <c r="P83" s="40">
        <f>ROUND(D83*O83/1000,0)</f>
        <v>443</v>
      </c>
      <c r="Q83" s="44"/>
    </row>
    <row r="84" spans="1:17" s="16" customFormat="1" x14ac:dyDescent="0.2">
      <c r="A84" s="24">
        <v>22</v>
      </c>
      <c r="B84" s="25" t="s">
        <v>39</v>
      </c>
      <c r="C84" s="31">
        <f>C85+C86</f>
        <v>18</v>
      </c>
      <c r="D84" s="31">
        <f t="shared" ref="D84" si="170">D85+D86</f>
        <v>2162</v>
      </c>
      <c r="E84" s="31">
        <f t="shared" ref="E84:H84" si="171">E85+E86</f>
        <v>2155</v>
      </c>
      <c r="F84" s="31">
        <f t="shared" si="171"/>
        <v>676</v>
      </c>
      <c r="G84" s="31">
        <f t="shared" si="171"/>
        <v>1009</v>
      </c>
      <c r="H84" s="31">
        <f t="shared" si="171"/>
        <v>470</v>
      </c>
      <c r="I84" s="31"/>
      <c r="J84" s="27">
        <f>J85+J86</f>
        <v>369096</v>
      </c>
      <c r="K84" s="27">
        <f t="shared" ref="K84:N84" si="172">K85+K86</f>
        <v>1377285</v>
      </c>
      <c r="L84" s="27">
        <f t="shared" si="172"/>
        <v>898170</v>
      </c>
      <c r="M84" s="27">
        <f t="shared" si="172"/>
        <v>2644551</v>
      </c>
      <c r="N84" s="27">
        <f t="shared" si="172"/>
        <v>23801</v>
      </c>
      <c r="O84" s="37"/>
      <c r="P84" s="27">
        <f t="shared" ref="P84:Q84" si="173">P85+P86</f>
        <v>1770</v>
      </c>
      <c r="Q84" s="27">
        <f t="shared" si="173"/>
        <v>25571</v>
      </c>
    </row>
    <row r="85" spans="1:17" x14ac:dyDescent="0.25">
      <c r="A85" s="23"/>
      <c r="B85" s="28" t="s">
        <v>15</v>
      </c>
      <c r="C85" s="21">
        <f>C87+C88</f>
        <v>18</v>
      </c>
      <c r="D85" s="21">
        <f>D87+D88</f>
        <v>2162</v>
      </c>
      <c r="E85" s="21">
        <f t="shared" ref="E85:E88" si="174">F85+G85+H85</f>
        <v>2155</v>
      </c>
      <c r="F85" s="21">
        <f>F87+F88</f>
        <v>676</v>
      </c>
      <c r="G85" s="21">
        <f t="shared" ref="G85:H85" si="175">G87+G88</f>
        <v>1009</v>
      </c>
      <c r="H85" s="21">
        <f t="shared" si="175"/>
        <v>470</v>
      </c>
      <c r="I85" s="21">
        <v>2730</v>
      </c>
      <c r="J85" s="30">
        <f>(I85*F85*0.2)</f>
        <v>369096</v>
      </c>
      <c r="K85" s="30">
        <f>(I85*G85*0.5)</f>
        <v>1377285</v>
      </c>
      <c r="L85" s="30">
        <f>(I85*H85*0.7)</f>
        <v>898170</v>
      </c>
      <c r="M85" s="30">
        <f t="shared" ref="M85" si="176">J85+K85+L85</f>
        <v>2644551</v>
      </c>
      <c r="N85" s="30">
        <f t="shared" ref="N85" si="177">ROUND((M85*9/1000),0)</f>
        <v>23801</v>
      </c>
      <c r="O85" s="30"/>
      <c r="P85" s="30">
        <f t="shared" ref="P85" si="178">P87+P88</f>
        <v>1770</v>
      </c>
      <c r="Q85" s="30">
        <f t="shared" ref="Q85" si="179">N85+P85</f>
        <v>25571</v>
      </c>
    </row>
    <row r="86" spans="1:17" x14ac:dyDescent="0.25">
      <c r="A86" s="23"/>
      <c r="B86" s="28" t="s">
        <v>16</v>
      </c>
      <c r="C86" s="21"/>
      <c r="D86" s="21"/>
      <c r="E86" s="21"/>
      <c r="F86" s="21"/>
      <c r="G86" s="21"/>
      <c r="H86" s="29"/>
      <c r="I86" s="21"/>
      <c r="J86" s="30"/>
      <c r="K86" s="30"/>
      <c r="L86" s="30"/>
      <c r="M86" s="30"/>
      <c r="N86" s="30"/>
      <c r="O86" s="30"/>
      <c r="P86" s="30"/>
      <c r="Q86" s="37"/>
    </row>
    <row r="87" spans="1:17" x14ac:dyDescent="0.25">
      <c r="A87" s="23"/>
      <c r="B87" s="38" t="s">
        <v>30</v>
      </c>
      <c r="C87" s="39">
        <v>7</v>
      </c>
      <c r="D87" s="39">
        <v>1321</v>
      </c>
      <c r="E87" s="21">
        <f t="shared" si="174"/>
        <v>1317</v>
      </c>
      <c r="F87" s="39">
        <f>546-110</f>
        <v>436</v>
      </c>
      <c r="G87" s="39">
        <v>602</v>
      </c>
      <c r="H87" s="39">
        <v>279</v>
      </c>
      <c r="I87" s="39"/>
      <c r="J87" s="40"/>
      <c r="K87" s="40"/>
      <c r="L87" s="40"/>
      <c r="M87" s="40"/>
      <c r="N87" s="40"/>
      <c r="O87" s="30">
        <v>621</v>
      </c>
      <c r="P87" s="40">
        <f>ROUND(D87*O87/1000,0)</f>
        <v>820</v>
      </c>
      <c r="Q87" s="44"/>
    </row>
    <row r="88" spans="1:17" x14ac:dyDescent="0.25">
      <c r="A88" s="23"/>
      <c r="B88" s="38" t="s">
        <v>31</v>
      </c>
      <c r="C88" s="39">
        <v>11</v>
      </c>
      <c r="D88" s="39">
        <v>841</v>
      </c>
      <c r="E88" s="21">
        <f t="shared" si="174"/>
        <v>838</v>
      </c>
      <c r="F88" s="39">
        <f>315-75</f>
        <v>240</v>
      </c>
      <c r="G88" s="39">
        <v>407</v>
      </c>
      <c r="H88" s="39">
        <v>191</v>
      </c>
      <c r="I88" s="39"/>
      <c r="J88" s="40"/>
      <c r="K88" s="40"/>
      <c r="L88" s="40"/>
      <c r="M88" s="40"/>
      <c r="N88" s="40"/>
      <c r="O88" s="40">
        <v>1130</v>
      </c>
      <c r="P88" s="40">
        <f>ROUND(D88*O88/1000,0)</f>
        <v>950</v>
      </c>
      <c r="Q88" s="44"/>
    </row>
    <row r="89" spans="1:17" s="16" customFormat="1" x14ac:dyDescent="0.2">
      <c r="A89" s="24"/>
      <c r="B89" s="42" t="s">
        <v>40</v>
      </c>
      <c r="C89" s="31">
        <f>C5+C8+C11+C14+C17+C20+C23+C26+C29+C32+C35+C38+C41+C44+C49+C54+C59+C64+C69+C74+C79+C84</f>
        <v>410</v>
      </c>
      <c r="D89" s="31">
        <f>D5+D8+D11+D14+D17+D20+D23+D26+D29+D32+D35+D38+D41+D44+D49+D54+D59+D64+D69+D74+D79+D84</f>
        <v>119526</v>
      </c>
      <c r="E89" s="31">
        <f t="shared" ref="E89:H89" si="180">E5+E8+E11+E14+E17+E20+E23+E26+E29+E32+E35+E38+E41+E44+E49+E54+E59+E64+E69+E74+E79+E84</f>
        <v>110653</v>
      </c>
      <c r="F89" s="31">
        <f t="shared" si="180"/>
        <v>47726</v>
      </c>
      <c r="G89" s="31">
        <f t="shared" si="180"/>
        <v>45748</v>
      </c>
      <c r="H89" s="31">
        <f t="shared" si="180"/>
        <v>17179</v>
      </c>
      <c r="I89" s="31"/>
      <c r="J89" s="32">
        <f t="shared" ref="J89:Q89" si="181">J5+J8+J11+J14+J17+J20+J23+J26+J29+J32+J35+J38+J41+J44+J49+J54+J59+J64+J69+J74+J79+J84</f>
        <v>29712307.399999999</v>
      </c>
      <c r="K89" s="32">
        <f t="shared" si="181"/>
        <v>70159550.5</v>
      </c>
      <c r="L89" s="32">
        <f t="shared" si="181"/>
        <v>37388439.200000003</v>
      </c>
      <c r="M89" s="32">
        <f t="shared" si="181"/>
        <v>137260297.10000002</v>
      </c>
      <c r="N89" s="32">
        <f t="shared" si="181"/>
        <v>1235348</v>
      </c>
      <c r="O89" s="31"/>
      <c r="P89" s="32">
        <f t="shared" si="181"/>
        <v>77802</v>
      </c>
      <c r="Q89" s="32">
        <f t="shared" si="181"/>
        <v>1313150</v>
      </c>
    </row>
    <row r="90" spans="1:17" ht="15.75" customHeight="1" x14ac:dyDescent="0.25">
      <c r="A90" s="47" t="s">
        <v>41</v>
      </c>
      <c r="B90" s="47"/>
      <c r="C90" s="6">
        <f>C7+C10+C13+C16+C19+C22+C25+C28+C31+C34+C37+C40+C43+C46+C51+C56+C61+C66+C71+C76+C81+C86</f>
        <v>26</v>
      </c>
      <c r="D90" s="6">
        <f t="shared" ref="D90" si="182">D7+D10+D13+D16+D19+D22+D25+D28+D31+D34+D37+D40+D43+D46+D51+D56+D61+D66+D71+D76+D81+D86</f>
        <v>3775</v>
      </c>
      <c r="E90" s="6">
        <f t="shared" ref="E90:H90" si="183">E7+E10+E13+E16+E19+E22+E25+E28+E31+E34+E37+E40+E43+E46+E51+E56+E61+E66+E71+E76+E81+E86</f>
        <v>3096</v>
      </c>
      <c r="F90" s="6">
        <f t="shared" si="183"/>
        <v>1487</v>
      </c>
      <c r="G90" s="6">
        <f t="shared" si="183"/>
        <v>1367</v>
      </c>
      <c r="H90" s="6">
        <f t="shared" si="183"/>
        <v>242</v>
      </c>
      <c r="I90" s="6">
        <v>2082</v>
      </c>
      <c r="J90" s="12">
        <f t="shared" ref="J90:N90" si="184">J7+J10+J13+J16+J19+J22+J25+J28+J31+J34+J37+J40+J43+J46+J51+J56+J61+J66+J71+J76+J81+J86</f>
        <v>619186.80000000005</v>
      </c>
      <c r="K90" s="12">
        <f t="shared" si="184"/>
        <v>1423047</v>
      </c>
      <c r="L90" s="12">
        <f t="shared" si="184"/>
        <v>352690.8</v>
      </c>
      <c r="M90" s="12">
        <f t="shared" si="184"/>
        <v>2394924.6</v>
      </c>
      <c r="N90" s="12">
        <f t="shared" si="184"/>
        <v>21555</v>
      </c>
      <c r="O90" s="12"/>
      <c r="P90" s="12">
        <f t="shared" ref="P90:Q90" si="185">P7+P10+P13+P16+P19+P22+P25+P28+P31+P34+P37+P40+P43+P46+P51+P56+P61+P66+P71+P76+P81+P86</f>
        <v>2405</v>
      </c>
      <c r="Q90" s="12">
        <f t="shared" si="185"/>
        <v>23960</v>
      </c>
    </row>
    <row r="91" spans="1:17" x14ac:dyDescent="0.25">
      <c r="A91" s="13"/>
      <c r="B91" s="13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</row>
    <row r="92" spans="1:17" x14ac:dyDescent="0.25">
      <c r="A92" s="15"/>
      <c r="B92" s="15"/>
      <c r="C92" s="15"/>
      <c r="D92" s="15"/>
      <c r="M92" s="7"/>
      <c r="N92" s="15"/>
    </row>
    <row r="93" spans="1:17" x14ac:dyDescent="0.25">
      <c r="A93" s="15"/>
      <c r="B93" s="15"/>
      <c r="C93" s="15"/>
      <c r="D93" s="15"/>
      <c r="E93" s="8"/>
      <c r="N93" s="15"/>
      <c r="Q93" s="17"/>
    </row>
    <row r="96" spans="1:17" x14ac:dyDescent="0.25">
      <c r="A96" s="15"/>
      <c r="B96" s="15"/>
      <c r="C96" s="15"/>
    </row>
    <row r="97" spans="1:4" x14ac:dyDescent="0.25">
      <c r="A97" s="15"/>
      <c r="B97" s="15"/>
      <c r="C97" s="15"/>
      <c r="D97" s="9"/>
    </row>
  </sheetData>
  <mergeCells count="15">
    <mergeCell ref="Q2:Q3"/>
    <mergeCell ref="M2:M3"/>
    <mergeCell ref="A90:B90"/>
    <mergeCell ref="A1:Q1"/>
    <mergeCell ref="A2:A3"/>
    <mergeCell ref="B2:B3"/>
    <mergeCell ref="C2:C3"/>
    <mergeCell ref="D2:D3"/>
    <mergeCell ref="E2:E3"/>
    <mergeCell ref="F2:H2"/>
    <mergeCell ref="I2:I3"/>
    <mergeCell ref="J2:L2"/>
    <mergeCell ref="N2:N3"/>
    <mergeCell ref="O2:O3"/>
    <mergeCell ref="P2:P3"/>
  </mergeCells>
  <printOptions horizontalCentered="1"/>
  <pageMargins left="0.19685039370078741" right="0.11811023622047245" top="0.31496062992125984" bottom="0.15748031496062992" header="0.31496062992125984" footer="0.31496062992125984"/>
  <pageSetup paperSize="9" scale="37" firstPageNumber="2410" orientation="landscape" useFirstPageNumber="1" r:id="rId1"/>
  <headerFooter>
    <oddHeader>&amp;R&amp;P</oddHeader>
  </headerFooter>
  <rowBreaks count="1" manualBreakCount="1">
    <brk id="42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topLeftCell="M67" zoomScale="90" zoomScaleNormal="90" zoomScaleSheetLayoutView="80" workbookViewId="0">
      <selection activeCell="Q77" sqref="Q77"/>
    </sheetView>
  </sheetViews>
  <sheetFormatPr defaultRowHeight="15.75" x14ac:dyDescent="0.25"/>
  <cols>
    <col min="1" max="1" width="7.7109375" style="10" customWidth="1"/>
    <col min="2" max="2" width="42.42578125" style="5" customWidth="1"/>
    <col min="3" max="3" width="22.7109375" style="1" customWidth="1"/>
    <col min="4" max="4" width="27" style="2" customWidth="1"/>
    <col min="5" max="5" width="30.42578125" style="2" customWidth="1"/>
    <col min="6" max="6" width="16.85546875" style="3" customWidth="1"/>
    <col min="7" max="7" width="17.85546875" style="3" customWidth="1"/>
    <col min="8" max="8" width="18.28515625" style="3" customWidth="1"/>
    <col min="9" max="9" width="24.140625" style="3" customWidth="1"/>
    <col min="10" max="10" width="19.140625" style="4" customWidth="1"/>
    <col min="11" max="11" width="16.5703125" style="4" customWidth="1"/>
    <col min="12" max="12" width="20.7109375" style="4" customWidth="1"/>
    <col min="13" max="13" width="21.28515625" style="4" customWidth="1"/>
    <col min="14" max="14" width="18.7109375" style="7" customWidth="1"/>
    <col min="15" max="15" width="26.7109375" style="15" customWidth="1"/>
    <col min="16" max="16" width="29.5703125" style="15" customWidth="1"/>
    <col min="17" max="17" width="27.5703125" style="15" customWidth="1"/>
    <col min="18" max="239" width="9.140625" style="15"/>
    <col min="240" max="240" width="7.7109375" style="15" customWidth="1"/>
    <col min="241" max="241" width="31.5703125" style="15" customWidth="1"/>
    <col min="242" max="242" width="24" style="15" customWidth="1"/>
    <col min="243" max="243" width="22.140625" style="15" customWidth="1"/>
    <col min="244" max="244" width="21.28515625" style="15" customWidth="1"/>
    <col min="245" max="245" width="20.7109375" style="15" customWidth="1"/>
    <col min="246" max="246" width="11.7109375" style="15" customWidth="1"/>
    <col min="247" max="247" width="12" style="15" customWidth="1"/>
    <col min="248" max="248" width="11.7109375" style="15" customWidth="1"/>
    <col min="249" max="249" width="25.28515625" style="15" customWidth="1"/>
    <col min="250" max="250" width="15.28515625" style="15" customWidth="1"/>
    <col min="251" max="251" width="14.5703125" style="15" customWidth="1"/>
    <col min="252" max="252" width="15.140625" style="15" customWidth="1"/>
    <col min="253" max="253" width="21.28515625" style="15" customWidth="1"/>
    <col min="254" max="254" width="18.7109375" style="15" customWidth="1"/>
    <col min="255" max="255" width="20.85546875" style="15" customWidth="1"/>
    <col min="256" max="256" width="20.5703125" style="15" customWidth="1"/>
    <col min="257" max="257" width="19.7109375" style="15" customWidth="1"/>
    <col min="258" max="258" width="18.28515625" style="15" customWidth="1"/>
    <col min="259" max="495" width="9.140625" style="15"/>
    <col min="496" max="496" width="7.7109375" style="15" customWidth="1"/>
    <col min="497" max="497" width="31.5703125" style="15" customWidth="1"/>
    <col min="498" max="498" width="24" style="15" customWidth="1"/>
    <col min="499" max="499" width="22.140625" style="15" customWidth="1"/>
    <col min="500" max="500" width="21.28515625" style="15" customWidth="1"/>
    <col min="501" max="501" width="20.7109375" style="15" customWidth="1"/>
    <col min="502" max="502" width="11.7109375" style="15" customWidth="1"/>
    <col min="503" max="503" width="12" style="15" customWidth="1"/>
    <col min="504" max="504" width="11.7109375" style="15" customWidth="1"/>
    <col min="505" max="505" width="25.28515625" style="15" customWidth="1"/>
    <col min="506" max="506" width="15.28515625" style="15" customWidth="1"/>
    <col min="507" max="507" width="14.5703125" style="15" customWidth="1"/>
    <col min="508" max="508" width="15.140625" style="15" customWidth="1"/>
    <col min="509" max="509" width="21.28515625" style="15" customWidth="1"/>
    <col min="510" max="510" width="18.7109375" style="15" customWidth="1"/>
    <col min="511" max="511" width="20.85546875" style="15" customWidth="1"/>
    <col min="512" max="512" width="20.5703125" style="15" customWidth="1"/>
    <col min="513" max="513" width="19.7109375" style="15" customWidth="1"/>
    <col min="514" max="514" width="18.28515625" style="15" customWidth="1"/>
    <col min="515" max="751" width="9.140625" style="15"/>
    <col min="752" max="752" width="7.7109375" style="15" customWidth="1"/>
    <col min="753" max="753" width="31.5703125" style="15" customWidth="1"/>
    <col min="754" max="754" width="24" style="15" customWidth="1"/>
    <col min="755" max="755" width="22.140625" style="15" customWidth="1"/>
    <col min="756" max="756" width="21.28515625" style="15" customWidth="1"/>
    <col min="757" max="757" width="20.7109375" style="15" customWidth="1"/>
    <col min="758" max="758" width="11.7109375" style="15" customWidth="1"/>
    <col min="759" max="759" width="12" style="15" customWidth="1"/>
    <col min="760" max="760" width="11.7109375" style="15" customWidth="1"/>
    <col min="761" max="761" width="25.28515625" style="15" customWidth="1"/>
    <col min="762" max="762" width="15.28515625" style="15" customWidth="1"/>
    <col min="763" max="763" width="14.5703125" style="15" customWidth="1"/>
    <col min="764" max="764" width="15.140625" style="15" customWidth="1"/>
    <col min="765" max="765" width="21.28515625" style="15" customWidth="1"/>
    <col min="766" max="766" width="18.7109375" style="15" customWidth="1"/>
    <col min="767" max="767" width="20.85546875" style="15" customWidth="1"/>
    <col min="768" max="768" width="20.5703125" style="15" customWidth="1"/>
    <col min="769" max="769" width="19.7109375" style="15" customWidth="1"/>
    <col min="770" max="770" width="18.28515625" style="15" customWidth="1"/>
    <col min="771" max="1007" width="9.140625" style="15"/>
    <col min="1008" max="1008" width="7.7109375" style="15" customWidth="1"/>
    <col min="1009" max="1009" width="31.5703125" style="15" customWidth="1"/>
    <col min="1010" max="1010" width="24" style="15" customWidth="1"/>
    <col min="1011" max="1011" width="22.140625" style="15" customWidth="1"/>
    <col min="1012" max="1012" width="21.28515625" style="15" customWidth="1"/>
    <col min="1013" max="1013" width="20.7109375" style="15" customWidth="1"/>
    <col min="1014" max="1014" width="11.7109375" style="15" customWidth="1"/>
    <col min="1015" max="1015" width="12" style="15" customWidth="1"/>
    <col min="1016" max="1016" width="11.7109375" style="15" customWidth="1"/>
    <col min="1017" max="1017" width="25.28515625" style="15" customWidth="1"/>
    <col min="1018" max="1018" width="15.28515625" style="15" customWidth="1"/>
    <col min="1019" max="1019" width="14.5703125" style="15" customWidth="1"/>
    <col min="1020" max="1020" width="15.140625" style="15" customWidth="1"/>
    <col min="1021" max="1021" width="21.28515625" style="15" customWidth="1"/>
    <col min="1022" max="1022" width="18.7109375" style="15" customWidth="1"/>
    <col min="1023" max="1023" width="20.85546875" style="15" customWidth="1"/>
    <col min="1024" max="1024" width="20.5703125" style="15" customWidth="1"/>
    <col min="1025" max="1025" width="19.7109375" style="15" customWidth="1"/>
    <col min="1026" max="1026" width="18.28515625" style="15" customWidth="1"/>
    <col min="1027" max="1263" width="9.140625" style="15"/>
    <col min="1264" max="1264" width="7.7109375" style="15" customWidth="1"/>
    <col min="1265" max="1265" width="31.5703125" style="15" customWidth="1"/>
    <col min="1266" max="1266" width="24" style="15" customWidth="1"/>
    <col min="1267" max="1267" width="22.140625" style="15" customWidth="1"/>
    <col min="1268" max="1268" width="21.28515625" style="15" customWidth="1"/>
    <col min="1269" max="1269" width="20.7109375" style="15" customWidth="1"/>
    <col min="1270" max="1270" width="11.7109375" style="15" customWidth="1"/>
    <col min="1271" max="1271" width="12" style="15" customWidth="1"/>
    <col min="1272" max="1272" width="11.7109375" style="15" customWidth="1"/>
    <col min="1273" max="1273" width="25.28515625" style="15" customWidth="1"/>
    <col min="1274" max="1274" width="15.28515625" style="15" customWidth="1"/>
    <col min="1275" max="1275" width="14.5703125" style="15" customWidth="1"/>
    <col min="1276" max="1276" width="15.140625" style="15" customWidth="1"/>
    <col min="1277" max="1277" width="21.28515625" style="15" customWidth="1"/>
    <col min="1278" max="1278" width="18.7109375" style="15" customWidth="1"/>
    <col min="1279" max="1279" width="20.85546875" style="15" customWidth="1"/>
    <col min="1280" max="1280" width="20.5703125" style="15" customWidth="1"/>
    <col min="1281" max="1281" width="19.7109375" style="15" customWidth="1"/>
    <col min="1282" max="1282" width="18.28515625" style="15" customWidth="1"/>
    <col min="1283" max="1519" width="9.140625" style="15"/>
    <col min="1520" max="1520" width="7.7109375" style="15" customWidth="1"/>
    <col min="1521" max="1521" width="31.5703125" style="15" customWidth="1"/>
    <col min="1522" max="1522" width="24" style="15" customWidth="1"/>
    <col min="1523" max="1523" width="22.140625" style="15" customWidth="1"/>
    <col min="1524" max="1524" width="21.28515625" style="15" customWidth="1"/>
    <col min="1525" max="1525" width="20.7109375" style="15" customWidth="1"/>
    <col min="1526" max="1526" width="11.7109375" style="15" customWidth="1"/>
    <col min="1527" max="1527" width="12" style="15" customWidth="1"/>
    <col min="1528" max="1528" width="11.7109375" style="15" customWidth="1"/>
    <col min="1529" max="1529" width="25.28515625" style="15" customWidth="1"/>
    <col min="1530" max="1530" width="15.28515625" style="15" customWidth="1"/>
    <col min="1531" max="1531" width="14.5703125" style="15" customWidth="1"/>
    <col min="1532" max="1532" width="15.140625" style="15" customWidth="1"/>
    <col min="1533" max="1533" width="21.28515625" style="15" customWidth="1"/>
    <col min="1534" max="1534" width="18.7109375" style="15" customWidth="1"/>
    <col min="1535" max="1535" width="20.85546875" style="15" customWidth="1"/>
    <col min="1536" max="1536" width="20.5703125" style="15" customWidth="1"/>
    <col min="1537" max="1537" width="19.7109375" style="15" customWidth="1"/>
    <col min="1538" max="1538" width="18.28515625" style="15" customWidth="1"/>
    <col min="1539" max="1775" width="9.140625" style="15"/>
    <col min="1776" max="1776" width="7.7109375" style="15" customWidth="1"/>
    <col min="1777" max="1777" width="31.5703125" style="15" customWidth="1"/>
    <col min="1778" max="1778" width="24" style="15" customWidth="1"/>
    <col min="1779" max="1779" width="22.140625" style="15" customWidth="1"/>
    <col min="1780" max="1780" width="21.28515625" style="15" customWidth="1"/>
    <col min="1781" max="1781" width="20.7109375" style="15" customWidth="1"/>
    <col min="1782" max="1782" width="11.7109375" style="15" customWidth="1"/>
    <col min="1783" max="1783" width="12" style="15" customWidth="1"/>
    <col min="1784" max="1784" width="11.7109375" style="15" customWidth="1"/>
    <col min="1785" max="1785" width="25.28515625" style="15" customWidth="1"/>
    <col min="1786" max="1786" width="15.28515625" style="15" customWidth="1"/>
    <col min="1787" max="1787" width="14.5703125" style="15" customWidth="1"/>
    <col min="1788" max="1788" width="15.140625" style="15" customWidth="1"/>
    <col min="1789" max="1789" width="21.28515625" style="15" customWidth="1"/>
    <col min="1790" max="1790" width="18.7109375" style="15" customWidth="1"/>
    <col min="1791" max="1791" width="20.85546875" style="15" customWidth="1"/>
    <col min="1792" max="1792" width="20.5703125" style="15" customWidth="1"/>
    <col min="1793" max="1793" width="19.7109375" style="15" customWidth="1"/>
    <col min="1794" max="1794" width="18.28515625" style="15" customWidth="1"/>
    <col min="1795" max="2031" width="9.140625" style="15"/>
    <col min="2032" max="2032" width="7.7109375" style="15" customWidth="1"/>
    <col min="2033" max="2033" width="31.5703125" style="15" customWidth="1"/>
    <col min="2034" max="2034" width="24" style="15" customWidth="1"/>
    <col min="2035" max="2035" width="22.140625" style="15" customWidth="1"/>
    <col min="2036" max="2036" width="21.28515625" style="15" customWidth="1"/>
    <col min="2037" max="2037" width="20.7109375" style="15" customWidth="1"/>
    <col min="2038" max="2038" width="11.7109375" style="15" customWidth="1"/>
    <col min="2039" max="2039" width="12" style="15" customWidth="1"/>
    <col min="2040" max="2040" width="11.7109375" style="15" customWidth="1"/>
    <col min="2041" max="2041" width="25.28515625" style="15" customWidth="1"/>
    <col min="2042" max="2042" width="15.28515625" style="15" customWidth="1"/>
    <col min="2043" max="2043" width="14.5703125" style="15" customWidth="1"/>
    <col min="2044" max="2044" width="15.140625" style="15" customWidth="1"/>
    <col min="2045" max="2045" width="21.28515625" style="15" customWidth="1"/>
    <col min="2046" max="2046" width="18.7109375" style="15" customWidth="1"/>
    <col min="2047" max="2047" width="20.85546875" style="15" customWidth="1"/>
    <col min="2048" max="2048" width="20.5703125" style="15" customWidth="1"/>
    <col min="2049" max="2049" width="19.7109375" style="15" customWidth="1"/>
    <col min="2050" max="2050" width="18.28515625" style="15" customWidth="1"/>
    <col min="2051" max="2287" width="9.140625" style="15"/>
    <col min="2288" max="2288" width="7.7109375" style="15" customWidth="1"/>
    <col min="2289" max="2289" width="31.5703125" style="15" customWidth="1"/>
    <col min="2290" max="2290" width="24" style="15" customWidth="1"/>
    <col min="2291" max="2291" width="22.140625" style="15" customWidth="1"/>
    <col min="2292" max="2292" width="21.28515625" style="15" customWidth="1"/>
    <col min="2293" max="2293" width="20.7109375" style="15" customWidth="1"/>
    <col min="2294" max="2294" width="11.7109375" style="15" customWidth="1"/>
    <col min="2295" max="2295" width="12" style="15" customWidth="1"/>
    <col min="2296" max="2296" width="11.7109375" style="15" customWidth="1"/>
    <col min="2297" max="2297" width="25.28515625" style="15" customWidth="1"/>
    <col min="2298" max="2298" width="15.28515625" style="15" customWidth="1"/>
    <col min="2299" max="2299" width="14.5703125" style="15" customWidth="1"/>
    <col min="2300" max="2300" width="15.140625" style="15" customWidth="1"/>
    <col min="2301" max="2301" width="21.28515625" style="15" customWidth="1"/>
    <col min="2302" max="2302" width="18.7109375" style="15" customWidth="1"/>
    <col min="2303" max="2303" width="20.85546875" style="15" customWidth="1"/>
    <col min="2304" max="2304" width="20.5703125" style="15" customWidth="1"/>
    <col min="2305" max="2305" width="19.7109375" style="15" customWidth="1"/>
    <col min="2306" max="2306" width="18.28515625" style="15" customWidth="1"/>
    <col min="2307" max="2543" width="9.140625" style="15"/>
    <col min="2544" max="2544" width="7.7109375" style="15" customWidth="1"/>
    <col min="2545" max="2545" width="31.5703125" style="15" customWidth="1"/>
    <col min="2546" max="2546" width="24" style="15" customWidth="1"/>
    <col min="2547" max="2547" width="22.140625" style="15" customWidth="1"/>
    <col min="2548" max="2548" width="21.28515625" style="15" customWidth="1"/>
    <col min="2549" max="2549" width="20.7109375" style="15" customWidth="1"/>
    <col min="2550" max="2550" width="11.7109375" style="15" customWidth="1"/>
    <col min="2551" max="2551" width="12" style="15" customWidth="1"/>
    <col min="2552" max="2552" width="11.7109375" style="15" customWidth="1"/>
    <col min="2553" max="2553" width="25.28515625" style="15" customWidth="1"/>
    <col min="2554" max="2554" width="15.28515625" style="15" customWidth="1"/>
    <col min="2555" max="2555" width="14.5703125" style="15" customWidth="1"/>
    <col min="2556" max="2556" width="15.140625" style="15" customWidth="1"/>
    <col min="2557" max="2557" width="21.28515625" style="15" customWidth="1"/>
    <col min="2558" max="2558" width="18.7109375" style="15" customWidth="1"/>
    <col min="2559" max="2559" width="20.85546875" style="15" customWidth="1"/>
    <col min="2560" max="2560" width="20.5703125" style="15" customWidth="1"/>
    <col min="2561" max="2561" width="19.7109375" style="15" customWidth="1"/>
    <col min="2562" max="2562" width="18.28515625" style="15" customWidth="1"/>
    <col min="2563" max="2799" width="9.140625" style="15"/>
    <col min="2800" max="2800" width="7.7109375" style="15" customWidth="1"/>
    <col min="2801" max="2801" width="31.5703125" style="15" customWidth="1"/>
    <col min="2802" max="2802" width="24" style="15" customWidth="1"/>
    <col min="2803" max="2803" width="22.140625" style="15" customWidth="1"/>
    <col min="2804" max="2804" width="21.28515625" style="15" customWidth="1"/>
    <col min="2805" max="2805" width="20.7109375" style="15" customWidth="1"/>
    <col min="2806" max="2806" width="11.7109375" style="15" customWidth="1"/>
    <col min="2807" max="2807" width="12" style="15" customWidth="1"/>
    <col min="2808" max="2808" width="11.7109375" style="15" customWidth="1"/>
    <col min="2809" max="2809" width="25.28515625" style="15" customWidth="1"/>
    <col min="2810" max="2810" width="15.28515625" style="15" customWidth="1"/>
    <col min="2811" max="2811" width="14.5703125" style="15" customWidth="1"/>
    <col min="2812" max="2812" width="15.140625" style="15" customWidth="1"/>
    <col min="2813" max="2813" width="21.28515625" style="15" customWidth="1"/>
    <col min="2814" max="2814" width="18.7109375" style="15" customWidth="1"/>
    <col min="2815" max="2815" width="20.85546875" style="15" customWidth="1"/>
    <col min="2816" max="2816" width="20.5703125" style="15" customWidth="1"/>
    <col min="2817" max="2817" width="19.7109375" style="15" customWidth="1"/>
    <col min="2818" max="2818" width="18.28515625" style="15" customWidth="1"/>
    <col min="2819" max="3055" width="9.140625" style="15"/>
    <col min="3056" max="3056" width="7.7109375" style="15" customWidth="1"/>
    <col min="3057" max="3057" width="31.5703125" style="15" customWidth="1"/>
    <col min="3058" max="3058" width="24" style="15" customWidth="1"/>
    <col min="3059" max="3059" width="22.140625" style="15" customWidth="1"/>
    <col min="3060" max="3060" width="21.28515625" style="15" customWidth="1"/>
    <col min="3061" max="3061" width="20.7109375" style="15" customWidth="1"/>
    <col min="3062" max="3062" width="11.7109375" style="15" customWidth="1"/>
    <col min="3063" max="3063" width="12" style="15" customWidth="1"/>
    <col min="3064" max="3064" width="11.7109375" style="15" customWidth="1"/>
    <col min="3065" max="3065" width="25.28515625" style="15" customWidth="1"/>
    <col min="3066" max="3066" width="15.28515625" style="15" customWidth="1"/>
    <col min="3067" max="3067" width="14.5703125" style="15" customWidth="1"/>
    <col min="3068" max="3068" width="15.140625" style="15" customWidth="1"/>
    <col min="3069" max="3069" width="21.28515625" style="15" customWidth="1"/>
    <col min="3070" max="3070" width="18.7109375" style="15" customWidth="1"/>
    <col min="3071" max="3071" width="20.85546875" style="15" customWidth="1"/>
    <col min="3072" max="3072" width="20.5703125" style="15" customWidth="1"/>
    <col min="3073" max="3073" width="19.7109375" style="15" customWidth="1"/>
    <col min="3074" max="3074" width="18.28515625" style="15" customWidth="1"/>
    <col min="3075" max="3311" width="9.140625" style="15"/>
    <col min="3312" max="3312" width="7.7109375" style="15" customWidth="1"/>
    <col min="3313" max="3313" width="31.5703125" style="15" customWidth="1"/>
    <col min="3314" max="3314" width="24" style="15" customWidth="1"/>
    <col min="3315" max="3315" width="22.140625" style="15" customWidth="1"/>
    <col min="3316" max="3316" width="21.28515625" style="15" customWidth="1"/>
    <col min="3317" max="3317" width="20.7109375" style="15" customWidth="1"/>
    <col min="3318" max="3318" width="11.7109375" style="15" customWidth="1"/>
    <col min="3319" max="3319" width="12" style="15" customWidth="1"/>
    <col min="3320" max="3320" width="11.7109375" style="15" customWidth="1"/>
    <col min="3321" max="3321" width="25.28515625" style="15" customWidth="1"/>
    <col min="3322" max="3322" width="15.28515625" style="15" customWidth="1"/>
    <col min="3323" max="3323" width="14.5703125" style="15" customWidth="1"/>
    <col min="3324" max="3324" width="15.140625" style="15" customWidth="1"/>
    <col min="3325" max="3325" width="21.28515625" style="15" customWidth="1"/>
    <col min="3326" max="3326" width="18.7109375" style="15" customWidth="1"/>
    <col min="3327" max="3327" width="20.85546875" style="15" customWidth="1"/>
    <col min="3328" max="3328" width="20.5703125" style="15" customWidth="1"/>
    <col min="3329" max="3329" width="19.7109375" style="15" customWidth="1"/>
    <col min="3330" max="3330" width="18.28515625" style="15" customWidth="1"/>
    <col min="3331" max="3567" width="9.140625" style="15"/>
    <col min="3568" max="3568" width="7.7109375" style="15" customWidth="1"/>
    <col min="3569" max="3569" width="31.5703125" style="15" customWidth="1"/>
    <col min="3570" max="3570" width="24" style="15" customWidth="1"/>
    <col min="3571" max="3571" width="22.140625" style="15" customWidth="1"/>
    <col min="3572" max="3572" width="21.28515625" style="15" customWidth="1"/>
    <col min="3573" max="3573" width="20.7109375" style="15" customWidth="1"/>
    <col min="3574" max="3574" width="11.7109375" style="15" customWidth="1"/>
    <col min="3575" max="3575" width="12" style="15" customWidth="1"/>
    <col min="3576" max="3576" width="11.7109375" style="15" customWidth="1"/>
    <col min="3577" max="3577" width="25.28515625" style="15" customWidth="1"/>
    <col min="3578" max="3578" width="15.28515625" style="15" customWidth="1"/>
    <col min="3579" max="3579" width="14.5703125" style="15" customWidth="1"/>
    <col min="3580" max="3580" width="15.140625" style="15" customWidth="1"/>
    <col min="3581" max="3581" width="21.28515625" style="15" customWidth="1"/>
    <col min="3582" max="3582" width="18.7109375" style="15" customWidth="1"/>
    <col min="3583" max="3583" width="20.85546875" style="15" customWidth="1"/>
    <col min="3584" max="3584" width="20.5703125" style="15" customWidth="1"/>
    <col min="3585" max="3585" width="19.7109375" style="15" customWidth="1"/>
    <col min="3586" max="3586" width="18.28515625" style="15" customWidth="1"/>
    <col min="3587" max="3823" width="9.140625" style="15"/>
    <col min="3824" max="3824" width="7.7109375" style="15" customWidth="1"/>
    <col min="3825" max="3825" width="31.5703125" style="15" customWidth="1"/>
    <col min="3826" max="3826" width="24" style="15" customWidth="1"/>
    <col min="3827" max="3827" width="22.140625" style="15" customWidth="1"/>
    <col min="3828" max="3828" width="21.28515625" style="15" customWidth="1"/>
    <col min="3829" max="3829" width="20.7109375" style="15" customWidth="1"/>
    <col min="3830" max="3830" width="11.7109375" style="15" customWidth="1"/>
    <col min="3831" max="3831" width="12" style="15" customWidth="1"/>
    <col min="3832" max="3832" width="11.7109375" style="15" customWidth="1"/>
    <col min="3833" max="3833" width="25.28515625" style="15" customWidth="1"/>
    <col min="3834" max="3834" width="15.28515625" style="15" customWidth="1"/>
    <col min="3835" max="3835" width="14.5703125" style="15" customWidth="1"/>
    <col min="3836" max="3836" width="15.140625" style="15" customWidth="1"/>
    <col min="3837" max="3837" width="21.28515625" style="15" customWidth="1"/>
    <col min="3838" max="3838" width="18.7109375" style="15" customWidth="1"/>
    <col min="3839" max="3839" width="20.85546875" style="15" customWidth="1"/>
    <col min="3840" max="3840" width="20.5703125" style="15" customWidth="1"/>
    <col min="3841" max="3841" width="19.7109375" style="15" customWidth="1"/>
    <col min="3842" max="3842" width="18.28515625" style="15" customWidth="1"/>
    <col min="3843" max="4079" width="9.140625" style="15"/>
    <col min="4080" max="4080" width="7.7109375" style="15" customWidth="1"/>
    <col min="4081" max="4081" width="31.5703125" style="15" customWidth="1"/>
    <col min="4082" max="4082" width="24" style="15" customWidth="1"/>
    <col min="4083" max="4083" width="22.140625" style="15" customWidth="1"/>
    <col min="4084" max="4084" width="21.28515625" style="15" customWidth="1"/>
    <col min="4085" max="4085" width="20.7109375" style="15" customWidth="1"/>
    <col min="4086" max="4086" width="11.7109375" style="15" customWidth="1"/>
    <col min="4087" max="4087" width="12" style="15" customWidth="1"/>
    <col min="4088" max="4088" width="11.7109375" style="15" customWidth="1"/>
    <col min="4089" max="4089" width="25.28515625" style="15" customWidth="1"/>
    <col min="4090" max="4090" width="15.28515625" style="15" customWidth="1"/>
    <col min="4091" max="4091" width="14.5703125" style="15" customWidth="1"/>
    <col min="4092" max="4092" width="15.140625" style="15" customWidth="1"/>
    <col min="4093" max="4093" width="21.28515625" style="15" customWidth="1"/>
    <col min="4094" max="4094" width="18.7109375" style="15" customWidth="1"/>
    <col min="4095" max="4095" width="20.85546875" style="15" customWidth="1"/>
    <col min="4096" max="4096" width="20.5703125" style="15" customWidth="1"/>
    <col min="4097" max="4097" width="19.7109375" style="15" customWidth="1"/>
    <col min="4098" max="4098" width="18.28515625" style="15" customWidth="1"/>
    <col min="4099" max="4335" width="9.140625" style="15"/>
    <col min="4336" max="4336" width="7.7109375" style="15" customWidth="1"/>
    <col min="4337" max="4337" width="31.5703125" style="15" customWidth="1"/>
    <col min="4338" max="4338" width="24" style="15" customWidth="1"/>
    <col min="4339" max="4339" width="22.140625" style="15" customWidth="1"/>
    <col min="4340" max="4340" width="21.28515625" style="15" customWidth="1"/>
    <col min="4341" max="4341" width="20.7109375" style="15" customWidth="1"/>
    <col min="4342" max="4342" width="11.7109375" style="15" customWidth="1"/>
    <col min="4343" max="4343" width="12" style="15" customWidth="1"/>
    <col min="4344" max="4344" width="11.7109375" style="15" customWidth="1"/>
    <col min="4345" max="4345" width="25.28515625" style="15" customWidth="1"/>
    <col min="4346" max="4346" width="15.28515625" style="15" customWidth="1"/>
    <col min="4347" max="4347" width="14.5703125" style="15" customWidth="1"/>
    <col min="4348" max="4348" width="15.140625" style="15" customWidth="1"/>
    <col min="4349" max="4349" width="21.28515625" style="15" customWidth="1"/>
    <col min="4350" max="4350" width="18.7109375" style="15" customWidth="1"/>
    <col min="4351" max="4351" width="20.85546875" style="15" customWidth="1"/>
    <col min="4352" max="4352" width="20.5703125" style="15" customWidth="1"/>
    <col min="4353" max="4353" width="19.7109375" style="15" customWidth="1"/>
    <col min="4354" max="4354" width="18.28515625" style="15" customWidth="1"/>
    <col min="4355" max="4591" width="9.140625" style="15"/>
    <col min="4592" max="4592" width="7.7109375" style="15" customWidth="1"/>
    <col min="4593" max="4593" width="31.5703125" style="15" customWidth="1"/>
    <col min="4594" max="4594" width="24" style="15" customWidth="1"/>
    <col min="4595" max="4595" width="22.140625" style="15" customWidth="1"/>
    <col min="4596" max="4596" width="21.28515625" style="15" customWidth="1"/>
    <col min="4597" max="4597" width="20.7109375" style="15" customWidth="1"/>
    <col min="4598" max="4598" width="11.7109375" style="15" customWidth="1"/>
    <col min="4599" max="4599" width="12" style="15" customWidth="1"/>
    <col min="4600" max="4600" width="11.7109375" style="15" customWidth="1"/>
    <col min="4601" max="4601" width="25.28515625" style="15" customWidth="1"/>
    <col min="4602" max="4602" width="15.28515625" style="15" customWidth="1"/>
    <col min="4603" max="4603" width="14.5703125" style="15" customWidth="1"/>
    <col min="4604" max="4604" width="15.140625" style="15" customWidth="1"/>
    <col min="4605" max="4605" width="21.28515625" style="15" customWidth="1"/>
    <col min="4606" max="4606" width="18.7109375" style="15" customWidth="1"/>
    <col min="4607" max="4607" width="20.85546875" style="15" customWidth="1"/>
    <col min="4608" max="4608" width="20.5703125" style="15" customWidth="1"/>
    <col min="4609" max="4609" width="19.7109375" style="15" customWidth="1"/>
    <col min="4610" max="4610" width="18.28515625" style="15" customWidth="1"/>
    <col min="4611" max="4847" width="9.140625" style="15"/>
    <col min="4848" max="4848" width="7.7109375" style="15" customWidth="1"/>
    <col min="4849" max="4849" width="31.5703125" style="15" customWidth="1"/>
    <col min="4850" max="4850" width="24" style="15" customWidth="1"/>
    <col min="4851" max="4851" width="22.140625" style="15" customWidth="1"/>
    <col min="4852" max="4852" width="21.28515625" style="15" customWidth="1"/>
    <col min="4853" max="4853" width="20.7109375" style="15" customWidth="1"/>
    <col min="4854" max="4854" width="11.7109375" style="15" customWidth="1"/>
    <col min="4855" max="4855" width="12" style="15" customWidth="1"/>
    <col min="4856" max="4856" width="11.7109375" style="15" customWidth="1"/>
    <col min="4857" max="4857" width="25.28515625" style="15" customWidth="1"/>
    <col min="4858" max="4858" width="15.28515625" style="15" customWidth="1"/>
    <col min="4859" max="4859" width="14.5703125" style="15" customWidth="1"/>
    <col min="4860" max="4860" width="15.140625" style="15" customWidth="1"/>
    <col min="4861" max="4861" width="21.28515625" style="15" customWidth="1"/>
    <col min="4862" max="4862" width="18.7109375" style="15" customWidth="1"/>
    <col min="4863" max="4863" width="20.85546875" style="15" customWidth="1"/>
    <col min="4864" max="4864" width="20.5703125" style="15" customWidth="1"/>
    <col min="4865" max="4865" width="19.7109375" style="15" customWidth="1"/>
    <col min="4866" max="4866" width="18.28515625" style="15" customWidth="1"/>
    <col min="4867" max="5103" width="9.140625" style="15"/>
    <col min="5104" max="5104" width="7.7109375" style="15" customWidth="1"/>
    <col min="5105" max="5105" width="31.5703125" style="15" customWidth="1"/>
    <col min="5106" max="5106" width="24" style="15" customWidth="1"/>
    <col min="5107" max="5107" width="22.140625" style="15" customWidth="1"/>
    <col min="5108" max="5108" width="21.28515625" style="15" customWidth="1"/>
    <col min="5109" max="5109" width="20.7109375" style="15" customWidth="1"/>
    <col min="5110" max="5110" width="11.7109375" style="15" customWidth="1"/>
    <col min="5111" max="5111" width="12" style="15" customWidth="1"/>
    <col min="5112" max="5112" width="11.7109375" style="15" customWidth="1"/>
    <col min="5113" max="5113" width="25.28515625" style="15" customWidth="1"/>
    <col min="5114" max="5114" width="15.28515625" style="15" customWidth="1"/>
    <col min="5115" max="5115" width="14.5703125" style="15" customWidth="1"/>
    <col min="5116" max="5116" width="15.140625" style="15" customWidth="1"/>
    <col min="5117" max="5117" width="21.28515625" style="15" customWidth="1"/>
    <col min="5118" max="5118" width="18.7109375" style="15" customWidth="1"/>
    <col min="5119" max="5119" width="20.85546875" style="15" customWidth="1"/>
    <col min="5120" max="5120" width="20.5703125" style="15" customWidth="1"/>
    <col min="5121" max="5121" width="19.7109375" style="15" customWidth="1"/>
    <col min="5122" max="5122" width="18.28515625" style="15" customWidth="1"/>
    <col min="5123" max="5359" width="9.140625" style="15"/>
    <col min="5360" max="5360" width="7.7109375" style="15" customWidth="1"/>
    <col min="5361" max="5361" width="31.5703125" style="15" customWidth="1"/>
    <col min="5362" max="5362" width="24" style="15" customWidth="1"/>
    <col min="5363" max="5363" width="22.140625" style="15" customWidth="1"/>
    <col min="5364" max="5364" width="21.28515625" style="15" customWidth="1"/>
    <col min="5365" max="5365" width="20.7109375" style="15" customWidth="1"/>
    <col min="5366" max="5366" width="11.7109375" style="15" customWidth="1"/>
    <col min="5367" max="5367" width="12" style="15" customWidth="1"/>
    <col min="5368" max="5368" width="11.7109375" style="15" customWidth="1"/>
    <col min="5369" max="5369" width="25.28515625" style="15" customWidth="1"/>
    <col min="5370" max="5370" width="15.28515625" style="15" customWidth="1"/>
    <col min="5371" max="5371" width="14.5703125" style="15" customWidth="1"/>
    <col min="5372" max="5372" width="15.140625" style="15" customWidth="1"/>
    <col min="5373" max="5373" width="21.28515625" style="15" customWidth="1"/>
    <col min="5374" max="5374" width="18.7109375" style="15" customWidth="1"/>
    <col min="5375" max="5375" width="20.85546875" style="15" customWidth="1"/>
    <col min="5376" max="5376" width="20.5703125" style="15" customWidth="1"/>
    <col min="5377" max="5377" width="19.7109375" style="15" customWidth="1"/>
    <col min="5378" max="5378" width="18.28515625" style="15" customWidth="1"/>
    <col min="5379" max="5615" width="9.140625" style="15"/>
    <col min="5616" max="5616" width="7.7109375" style="15" customWidth="1"/>
    <col min="5617" max="5617" width="31.5703125" style="15" customWidth="1"/>
    <col min="5618" max="5618" width="24" style="15" customWidth="1"/>
    <col min="5619" max="5619" width="22.140625" style="15" customWidth="1"/>
    <col min="5620" max="5620" width="21.28515625" style="15" customWidth="1"/>
    <col min="5621" max="5621" width="20.7109375" style="15" customWidth="1"/>
    <col min="5622" max="5622" width="11.7109375" style="15" customWidth="1"/>
    <col min="5623" max="5623" width="12" style="15" customWidth="1"/>
    <col min="5624" max="5624" width="11.7109375" style="15" customWidth="1"/>
    <col min="5625" max="5625" width="25.28515625" style="15" customWidth="1"/>
    <col min="5626" max="5626" width="15.28515625" style="15" customWidth="1"/>
    <col min="5627" max="5627" width="14.5703125" style="15" customWidth="1"/>
    <col min="5628" max="5628" width="15.140625" style="15" customWidth="1"/>
    <col min="5629" max="5629" width="21.28515625" style="15" customWidth="1"/>
    <col min="5630" max="5630" width="18.7109375" style="15" customWidth="1"/>
    <col min="5631" max="5631" width="20.85546875" style="15" customWidth="1"/>
    <col min="5632" max="5632" width="20.5703125" style="15" customWidth="1"/>
    <col min="5633" max="5633" width="19.7109375" style="15" customWidth="1"/>
    <col min="5634" max="5634" width="18.28515625" style="15" customWidth="1"/>
    <col min="5635" max="5871" width="9.140625" style="15"/>
    <col min="5872" max="5872" width="7.7109375" style="15" customWidth="1"/>
    <col min="5873" max="5873" width="31.5703125" style="15" customWidth="1"/>
    <col min="5874" max="5874" width="24" style="15" customWidth="1"/>
    <col min="5875" max="5875" width="22.140625" style="15" customWidth="1"/>
    <col min="5876" max="5876" width="21.28515625" style="15" customWidth="1"/>
    <col min="5877" max="5877" width="20.7109375" style="15" customWidth="1"/>
    <col min="5878" max="5878" width="11.7109375" style="15" customWidth="1"/>
    <col min="5879" max="5879" width="12" style="15" customWidth="1"/>
    <col min="5880" max="5880" width="11.7109375" style="15" customWidth="1"/>
    <col min="5881" max="5881" width="25.28515625" style="15" customWidth="1"/>
    <col min="5882" max="5882" width="15.28515625" style="15" customWidth="1"/>
    <col min="5883" max="5883" width="14.5703125" style="15" customWidth="1"/>
    <col min="5884" max="5884" width="15.140625" style="15" customWidth="1"/>
    <col min="5885" max="5885" width="21.28515625" style="15" customWidth="1"/>
    <col min="5886" max="5886" width="18.7109375" style="15" customWidth="1"/>
    <col min="5887" max="5887" width="20.85546875" style="15" customWidth="1"/>
    <col min="5888" max="5888" width="20.5703125" style="15" customWidth="1"/>
    <col min="5889" max="5889" width="19.7109375" style="15" customWidth="1"/>
    <col min="5890" max="5890" width="18.28515625" style="15" customWidth="1"/>
    <col min="5891" max="6127" width="9.140625" style="15"/>
    <col min="6128" max="6128" width="7.7109375" style="15" customWidth="1"/>
    <col min="6129" max="6129" width="31.5703125" style="15" customWidth="1"/>
    <col min="6130" max="6130" width="24" style="15" customWidth="1"/>
    <col min="6131" max="6131" width="22.140625" style="15" customWidth="1"/>
    <col min="6132" max="6132" width="21.28515625" style="15" customWidth="1"/>
    <col min="6133" max="6133" width="20.7109375" style="15" customWidth="1"/>
    <col min="6134" max="6134" width="11.7109375" style="15" customWidth="1"/>
    <col min="6135" max="6135" width="12" style="15" customWidth="1"/>
    <col min="6136" max="6136" width="11.7109375" style="15" customWidth="1"/>
    <col min="6137" max="6137" width="25.28515625" style="15" customWidth="1"/>
    <col min="6138" max="6138" width="15.28515625" style="15" customWidth="1"/>
    <col min="6139" max="6139" width="14.5703125" style="15" customWidth="1"/>
    <col min="6140" max="6140" width="15.140625" style="15" customWidth="1"/>
    <col min="6141" max="6141" width="21.28515625" style="15" customWidth="1"/>
    <col min="6142" max="6142" width="18.7109375" style="15" customWidth="1"/>
    <col min="6143" max="6143" width="20.85546875" style="15" customWidth="1"/>
    <col min="6144" max="6144" width="20.5703125" style="15" customWidth="1"/>
    <col min="6145" max="6145" width="19.7109375" style="15" customWidth="1"/>
    <col min="6146" max="6146" width="18.28515625" style="15" customWidth="1"/>
    <col min="6147" max="6383" width="9.140625" style="15"/>
    <col min="6384" max="6384" width="7.7109375" style="15" customWidth="1"/>
    <col min="6385" max="6385" width="31.5703125" style="15" customWidth="1"/>
    <col min="6386" max="6386" width="24" style="15" customWidth="1"/>
    <col min="6387" max="6387" width="22.140625" style="15" customWidth="1"/>
    <col min="6388" max="6388" width="21.28515625" style="15" customWidth="1"/>
    <col min="6389" max="6389" width="20.7109375" style="15" customWidth="1"/>
    <col min="6390" max="6390" width="11.7109375" style="15" customWidth="1"/>
    <col min="6391" max="6391" width="12" style="15" customWidth="1"/>
    <col min="6392" max="6392" width="11.7109375" style="15" customWidth="1"/>
    <col min="6393" max="6393" width="25.28515625" style="15" customWidth="1"/>
    <col min="6394" max="6394" width="15.28515625" style="15" customWidth="1"/>
    <col min="6395" max="6395" width="14.5703125" style="15" customWidth="1"/>
    <col min="6396" max="6396" width="15.140625" style="15" customWidth="1"/>
    <col min="6397" max="6397" width="21.28515625" style="15" customWidth="1"/>
    <col min="6398" max="6398" width="18.7109375" style="15" customWidth="1"/>
    <col min="6399" max="6399" width="20.85546875" style="15" customWidth="1"/>
    <col min="6400" max="6400" width="20.5703125" style="15" customWidth="1"/>
    <col min="6401" max="6401" width="19.7109375" style="15" customWidth="1"/>
    <col min="6402" max="6402" width="18.28515625" style="15" customWidth="1"/>
    <col min="6403" max="6639" width="9.140625" style="15"/>
    <col min="6640" max="6640" width="7.7109375" style="15" customWidth="1"/>
    <col min="6641" max="6641" width="31.5703125" style="15" customWidth="1"/>
    <col min="6642" max="6642" width="24" style="15" customWidth="1"/>
    <col min="6643" max="6643" width="22.140625" style="15" customWidth="1"/>
    <col min="6644" max="6644" width="21.28515625" style="15" customWidth="1"/>
    <col min="6645" max="6645" width="20.7109375" style="15" customWidth="1"/>
    <col min="6646" max="6646" width="11.7109375" style="15" customWidth="1"/>
    <col min="6647" max="6647" width="12" style="15" customWidth="1"/>
    <col min="6648" max="6648" width="11.7109375" style="15" customWidth="1"/>
    <col min="6649" max="6649" width="25.28515625" style="15" customWidth="1"/>
    <col min="6650" max="6650" width="15.28515625" style="15" customWidth="1"/>
    <col min="6651" max="6651" width="14.5703125" style="15" customWidth="1"/>
    <col min="6652" max="6652" width="15.140625" style="15" customWidth="1"/>
    <col min="6653" max="6653" width="21.28515625" style="15" customWidth="1"/>
    <col min="6654" max="6654" width="18.7109375" style="15" customWidth="1"/>
    <col min="6655" max="6655" width="20.85546875" style="15" customWidth="1"/>
    <col min="6656" max="6656" width="20.5703125" style="15" customWidth="1"/>
    <col min="6657" max="6657" width="19.7109375" style="15" customWidth="1"/>
    <col min="6658" max="6658" width="18.28515625" style="15" customWidth="1"/>
    <col min="6659" max="6895" width="9.140625" style="15"/>
    <col min="6896" max="6896" width="7.7109375" style="15" customWidth="1"/>
    <col min="6897" max="6897" width="31.5703125" style="15" customWidth="1"/>
    <col min="6898" max="6898" width="24" style="15" customWidth="1"/>
    <col min="6899" max="6899" width="22.140625" style="15" customWidth="1"/>
    <col min="6900" max="6900" width="21.28515625" style="15" customWidth="1"/>
    <col min="6901" max="6901" width="20.7109375" style="15" customWidth="1"/>
    <col min="6902" max="6902" width="11.7109375" style="15" customWidth="1"/>
    <col min="6903" max="6903" width="12" style="15" customWidth="1"/>
    <col min="6904" max="6904" width="11.7109375" style="15" customWidth="1"/>
    <col min="6905" max="6905" width="25.28515625" style="15" customWidth="1"/>
    <col min="6906" max="6906" width="15.28515625" style="15" customWidth="1"/>
    <col min="6907" max="6907" width="14.5703125" style="15" customWidth="1"/>
    <col min="6908" max="6908" width="15.140625" style="15" customWidth="1"/>
    <col min="6909" max="6909" width="21.28515625" style="15" customWidth="1"/>
    <col min="6910" max="6910" width="18.7109375" style="15" customWidth="1"/>
    <col min="6911" max="6911" width="20.85546875" style="15" customWidth="1"/>
    <col min="6912" max="6912" width="20.5703125" style="15" customWidth="1"/>
    <col min="6913" max="6913" width="19.7109375" style="15" customWidth="1"/>
    <col min="6914" max="6914" width="18.28515625" style="15" customWidth="1"/>
    <col min="6915" max="7151" width="9.140625" style="15"/>
    <col min="7152" max="7152" width="7.7109375" style="15" customWidth="1"/>
    <col min="7153" max="7153" width="31.5703125" style="15" customWidth="1"/>
    <col min="7154" max="7154" width="24" style="15" customWidth="1"/>
    <col min="7155" max="7155" width="22.140625" style="15" customWidth="1"/>
    <col min="7156" max="7156" width="21.28515625" style="15" customWidth="1"/>
    <col min="7157" max="7157" width="20.7109375" style="15" customWidth="1"/>
    <col min="7158" max="7158" width="11.7109375" style="15" customWidth="1"/>
    <col min="7159" max="7159" width="12" style="15" customWidth="1"/>
    <col min="7160" max="7160" width="11.7109375" style="15" customWidth="1"/>
    <col min="7161" max="7161" width="25.28515625" style="15" customWidth="1"/>
    <col min="7162" max="7162" width="15.28515625" style="15" customWidth="1"/>
    <col min="7163" max="7163" width="14.5703125" style="15" customWidth="1"/>
    <col min="7164" max="7164" width="15.140625" style="15" customWidth="1"/>
    <col min="7165" max="7165" width="21.28515625" style="15" customWidth="1"/>
    <col min="7166" max="7166" width="18.7109375" style="15" customWidth="1"/>
    <col min="7167" max="7167" width="20.85546875" style="15" customWidth="1"/>
    <col min="7168" max="7168" width="20.5703125" style="15" customWidth="1"/>
    <col min="7169" max="7169" width="19.7109375" style="15" customWidth="1"/>
    <col min="7170" max="7170" width="18.28515625" style="15" customWidth="1"/>
    <col min="7171" max="7407" width="9.140625" style="15"/>
    <col min="7408" max="7408" width="7.7109375" style="15" customWidth="1"/>
    <col min="7409" max="7409" width="31.5703125" style="15" customWidth="1"/>
    <col min="7410" max="7410" width="24" style="15" customWidth="1"/>
    <col min="7411" max="7411" width="22.140625" style="15" customWidth="1"/>
    <col min="7412" max="7412" width="21.28515625" style="15" customWidth="1"/>
    <col min="7413" max="7413" width="20.7109375" style="15" customWidth="1"/>
    <col min="7414" max="7414" width="11.7109375" style="15" customWidth="1"/>
    <col min="7415" max="7415" width="12" style="15" customWidth="1"/>
    <col min="7416" max="7416" width="11.7109375" style="15" customWidth="1"/>
    <col min="7417" max="7417" width="25.28515625" style="15" customWidth="1"/>
    <col min="7418" max="7418" width="15.28515625" style="15" customWidth="1"/>
    <col min="7419" max="7419" width="14.5703125" style="15" customWidth="1"/>
    <col min="7420" max="7420" width="15.140625" style="15" customWidth="1"/>
    <col min="7421" max="7421" width="21.28515625" style="15" customWidth="1"/>
    <col min="7422" max="7422" width="18.7109375" style="15" customWidth="1"/>
    <col min="7423" max="7423" width="20.85546875" style="15" customWidth="1"/>
    <col min="7424" max="7424" width="20.5703125" style="15" customWidth="1"/>
    <col min="7425" max="7425" width="19.7109375" style="15" customWidth="1"/>
    <col min="7426" max="7426" width="18.28515625" style="15" customWidth="1"/>
    <col min="7427" max="7663" width="9.140625" style="15"/>
    <col min="7664" max="7664" width="7.7109375" style="15" customWidth="1"/>
    <col min="7665" max="7665" width="31.5703125" style="15" customWidth="1"/>
    <col min="7666" max="7666" width="24" style="15" customWidth="1"/>
    <col min="7667" max="7667" width="22.140625" style="15" customWidth="1"/>
    <col min="7668" max="7668" width="21.28515625" style="15" customWidth="1"/>
    <col min="7669" max="7669" width="20.7109375" style="15" customWidth="1"/>
    <col min="7670" max="7670" width="11.7109375" style="15" customWidth="1"/>
    <col min="7671" max="7671" width="12" style="15" customWidth="1"/>
    <col min="7672" max="7672" width="11.7109375" style="15" customWidth="1"/>
    <col min="7673" max="7673" width="25.28515625" style="15" customWidth="1"/>
    <col min="7674" max="7674" width="15.28515625" style="15" customWidth="1"/>
    <col min="7675" max="7675" width="14.5703125" style="15" customWidth="1"/>
    <col min="7676" max="7676" width="15.140625" style="15" customWidth="1"/>
    <col min="7677" max="7677" width="21.28515625" style="15" customWidth="1"/>
    <col min="7678" max="7678" width="18.7109375" style="15" customWidth="1"/>
    <col min="7679" max="7679" width="20.85546875" style="15" customWidth="1"/>
    <col min="7680" max="7680" width="20.5703125" style="15" customWidth="1"/>
    <col min="7681" max="7681" width="19.7109375" style="15" customWidth="1"/>
    <col min="7682" max="7682" width="18.28515625" style="15" customWidth="1"/>
    <col min="7683" max="7919" width="9.140625" style="15"/>
    <col min="7920" max="7920" width="7.7109375" style="15" customWidth="1"/>
    <col min="7921" max="7921" width="31.5703125" style="15" customWidth="1"/>
    <col min="7922" max="7922" width="24" style="15" customWidth="1"/>
    <col min="7923" max="7923" width="22.140625" style="15" customWidth="1"/>
    <col min="7924" max="7924" width="21.28515625" style="15" customWidth="1"/>
    <col min="7925" max="7925" width="20.7109375" style="15" customWidth="1"/>
    <col min="7926" max="7926" width="11.7109375" style="15" customWidth="1"/>
    <col min="7927" max="7927" width="12" style="15" customWidth="1"/>
    <col min="7928" max="7928" width="11.7109375" style="15" customWidth="1"/>
    <col min="7929" max="7929" width="25.28515625" style="15" customWidth="1"/>
    <col min="7930" max="7930" width="15.28515625" style="15" customWidth="1"/>
    <col min="7931" max="7931" width="14.5703125" style="15" customWidth="1"/>
    <col min="7932" max="7932" width="15.140625" style="15" customWidth="1"/>
    <col min="7933" max="7933" width="21.28515625" style="15" customWidth="1"/>
    <col min="7934" max="7934" width="18.7109375" style="15" customWidth="1"/>
    <col min="7935" max="7935" width="20.85546875" style="15" customWidth="1"/>
    <col min="7936" max="7936" width="20.5703125" style="15" customWidth="1"/>
    <col min="7937" max="7937" width="19.7109375" style="15" customWidth="1"/>
    <col min="7938" max="7938" width="18.28515625" style="15" customWidth="1"/>
    <col min="7939" max="8175" width="9.140625" style="15"/>
    <col min="8176" max="8176" width="7.7109375" style="15" customWidth="1"/>
    <col min="8177" max="8177" width="31.5703125" style="15" customWidth="1"/>
    <col min="8178" max="8178" width="24" style="15" customWidth="1"/>
    <col min="8179" max="8179" width="22.140625" style="15" customWidth="1"/>
    <col min="8180" max="8180" width="21.28515625" style="15" customWidth="1"/>
    <col min="8181" max="8181" width="20.7109375" style="15" customWidth="1"/>
    <col min="8182" max="8182" width="11.7109375" style="15" customWidth="1"/>
    <col min="8183" max="8183" width="12" style="15" customWidth="1"/>
    <col min="8184" max="8184" width="11.7109375" style="15" customWidth="1"/>
    <col min="8185" max="8185" width="25.28515625" style="15" customWidth="1"/>
    <col min="8186" max="8186" width="15.28515625" style="15" customWidth="1"/>
    <col min="8187" max="8187" width="14.5703125" style="15" customWidth="1"/>
    <col min="8188" max="8188" width="15.140625" style="15" customWidth="1"/>
    <col min="8189" max="8189" width="21.28515625" style="15" customWidth="1"/>
    <col min="8190" max="8190" width="18.7109375" style="15" customWidth="1"/>
    <col min="8191" max="8191" width="20.85546875" style="15" customWidth="1"/>
    <col min="8192" max="8192" width="20.5703125" style="15" customWidth="1"/>
    <col min="8193" max="8193" width="19.7109375" style="15" customWidth="1"/>
    <col min="8194" max="8194" width="18.28515625" style="15" customWidth="1"/>
    <col min="8195" max="8431" width="9.140625" style="15"/>
    <col min="8432" max="8432" width="7.7109375" style="15" customWidth="1"/>
    <col min="8433" max="8433" width="31.5703125" style="15" customWidth="1"/>
    <col min="8434" max="8434" width="24" style="15" customWidth="1"/>
    <col min="8435" max="8435" width="22.140625" style="15" customWidth="1"/>
    <col min="8436" max="8436" width="21.28515625" style="15" customWidth="1"/>
    <col min="8437" max="8437" width="20.7109375" style="15" customWidth="1"/>
    <col min="8438" max="8438" width="11.7109375" style="15" customWidth="1"/>
    <col min="8439" max="8439" width="12" style="15" customWidth="1"/>
    <col min="8440" max="8440" width="11.7109375" style="15" customWidth="1"/>
    <col min="8441" max="8441" width="25.28515625" style="15" customWidth="1"/>
    <col min="8442" max="8442" width="15.28515625" style="15" customWidth="1"/>
    <col min="8443" max="8443" width="14.5703125" style="15" customWidth="1"/>
    <col min="8444" max="8444" width="15.140625" style="15" customWidth="1"/>
    <col min="8445" max="8445" width="21.28515625" style="15" customWidth="1"/>
    <col min="8446" max="8446" width="18.7109375" style="15" customWidth="1"/>
    <col min="8447" max="8447" width="20.85546875" style="15" customWidth="1"/>
    <col min="8448" max="8448" width="20.5703125" style="15" customWidth="1"/>
    <col min="8449" max="8449" width="19.7109375" style="15" customWidth="1"/>
    <col min="8450" max="8450" width="18.28515625" style="15" customWidth="1"/>
    <col min="8451" max="8687" width="9.140625" style="15"/>
    <col min="8688" max="8688" width="7.7109375" style="15" customWidth="1"/>
    <col min="8689" max="8689" width="31.5703125" style="15" customWidth="1"/>
    <col min="8690" max="8690" width="24" style="15" customWidth="1"/>
    <col min="8691" max="8691" width="22.140625" style="15" customWidth="1"/>
    <col min="8692" max="8692" width="21.28515625" style="15" customWidth="1"/>
    <col min="8693" max="8693" width="20.7109375" style="15" customWidth="1"/>
    <col min="8694" max="8694" width="11.7109375" style="15" customWidth="1"/>
    <col min="8695" max="8695" width="12" style="15" customWidth="1"/>
    <col min="8696" max="8696" width="11.7109375" style="15" customWidth="1"/>
    <col min="8697" max="8697" width="25.28515625" style="15" customWidth="1"/>
    <col min="8698" max="8698" width="15.28515625" style="15" customWidth="1"/>
    <col min="8699" max="8699" width="14.5703125" style="15" customWidth="1"/>
    <col min="8700" max="8700" width="15.140625" style="15" customWidth="1"/>
    <col min="8701" max="8701" width="21.28515625" style="15" customWidth="1"/>
    <col min="8702" max="8702" width="18.7109375" style="15" customWidth="1"/>
    <col min="8703" max="8703" width="20.85546875" style="15" customWidth="1"/>
    <col min="8704" max="8704" width="20.5703125" style="15" customWidth="1"/>
    <col min="8705" max="8705" width="19.7109375" style="15" customWidth="1"/>
    <col min="8706" max="8706" width="18.28515625" style="15" customWidth="1"/>
    <col min="8707" max="8943" width="9.140625" style="15"/>
    <col min="8944" max="8944" width="7.7109375" style="15" customWidth="1"/>
    <col min="8945" max="8945" width="31.5703125" style="15" customWidth="1"/>
    <col min="8946" max="8946" width="24" style="15" customWidth="1"/>
    <col min="8947" max="8947" width="22.140625" style="15" customWidth="1"/>
    <col min="8948" max="8948" width="21.28515625" style="15" customWidth="1"/>
    <col min="8949" max="8949" width="20.7109375" style="15" customWidth="1"/>
    <col min="8950" max="8950" width="11.7109375" style="15" customWidth="1"/>
    <col min="8951" max="8951" width="12" style="15" customWidth="1"/>
    <col min="8952" max="8952" width="11.7109375" style="15" customWidth="1"/>
    <col min="8953" max="8953" width="25.28515625" style="15" customWidth="1"/>
    <col min="8954" max="8954" width="15.28515625" style="15" customWidth="1"/>
    <col min="8955" max="8955" width="14.5703125" style="15" customWidth="1"/>
    <col min="8956" max="8956" width="15.140625" style="15" customWidth="1"/>
    <col min="8957" max="8957" width="21.28515625" style="15" customWidth="1"/>
    <col min="8958" max="8958" width="18.7109375" style="15" customWidth="1"/>
    <col min="8959" max="8959" width="20.85546875" style="15" customWidth="1"/>
    <col min="8960" max="8960" width="20.5703125" style="15" customWidth="1"/>
    <col min="8961" max="8961" width="19.7109375" style="15" customWidth="1"/>
    <col min="8962" max="8962" width="18.28515625" style="15" customWidth="1"/>
    <col min="8963" max="9199" width="9.140625" style="15"/>
    <col min="9200" max="9200" width="7.7109375" style="15" customWidth="1"/>
    <col min="9201" max="9201" width="31.5703125" style="15" customWidth="1"/>
    <col min="9202" max="9202" width="24" style="15" customWidth="1"/>
    <col min="9203" max="9203" width="22.140625" style="15" customWidth="1"/>
    <col min="9204" max="9204" width="21.28515625" style="15" customWidth="1"/>
    <col min="9205" max="9205" width="20.7109375" style="15" customWidth="1"/>
    <col min="9206" max="9206" width="11.7109375" style="15" customWidth="1"/>
    <col min="9207" max="9207" width="12" style="15" customWidth="1"/>
    <col min="9208" max="9208" width="11.7109375" style="15" customWidth="1"/>
    <col min="9209" max="9209" width="25.28515625" style="15" customWidth="1"/>
    <col min="9210" max="9210" width="15.28515625" style="15" customWidth="1"/>
    <col min="9211" max="9211" width="14.5703125" style="15" customWidth="1"/>
    <col min="9212" max="9212" width="15.140625" style="15" customWidth="1"/>
    <col min="9213" max="9213" width="21.28515625" style="15" customWidth="1"/>
    <col min="9214" max="9214" width="18.7109375" style="15" customWidth="1"/>
    <col min="9215" max="9215" width="20.85546875" style="15" customWidth="1"/>
    <col min="9216" max="9216" width="20.5703125" style="15" customWidth="1"/>
    <col min="9217" max="9217" width="19.7109375" style="15" customWidth="1"/>
    <col min="9218" max="9218" width="18.28515625" style="15" customWidth="1"/>
    <col min="9219" max="9455" width="9.140625" style="15"/>
    <col min="9456" max="9456" width="7.7109375" style="15" customWidth="1"/>
    <col min="9457" max="9457" width="31.5703125" style="15" customWidth="1"/>
    <col min="9458" max="9458" width="24" style="15" customWidth="1"/>
    <col min="9459" max="9459" width="22.140625" style="15" customWidth="1"/>
    <col min="9460" max="9460" width="21.28515625" style="15" customWidth="1"/>
    <col min="9461" max="9461" width="20.7109375" style="15" customWidth="1"/>
    <col min="9462" max="9462" width="11.7109375" style="15" customWidth="1"/>
    <col min="9463" max="9463" width="12" style="15" customWidth="1"/>
    <col min="9464" max="9464" width="11.7109375" style="15" customWidth="1"/>
    <col min="9465" max="9465" width="25.28515625" style="15" customWidth="1"/>
    <col min="9466" max="9466" width="15.28515625" style="15" customWidth="1"/>
    <col min="9467" max="9467" width="14.5703125" style="15" customWidth="1"/>
    <col min="9468" max="9468" width="15.140625" style="15" customWidth="1"/>
    <col min="9469" max="9469" width="21.28515625" style="15" customWidth="1"/>
    <col min="9470" max="9470" width="18.7109375" style="15" customWidth="1"/>
    <col min="9471" max="9471" width="20.85546875" style="15" customWidth="1"/>
    <col min="9472" max="9472" width="20.5703125" style="15" customWidth="1"/>
    <col min="9473" max="9473" width="19.7109375" style="15" customWidth="1"/>
    <col min="9474" max="9474" width="18.28515625" style="15" customWidth="1"/>
    <col min="9475" max="9711" width="9.140625" style="15"/>
    <col min="9712" max="9712" width="7.7109375" style="15" customWidth="1"/>
    <col min="9713" max="9713" width="31.5703125" style="15" customWidth="1"/>
    <col min="9714" max="9714" width="24" style="15" customWidth="1"/>
    <col min="9715" max="9715" width="22.140625" style="15" customWidth="1"/>
    <col min="9716" max="9716" width="21.28515625" style="15" customWidth="1"/>
    <col min="9717" max="9717" width="20.7109375" style="15" customWidth="1"/>
    <col min="9718" max="9718" width="11.7109375" style="15" customWidth="1"/>
    <col min="9719" max="9719" width="12" style="15" customWidth="1"/>
    <col min="9720" max="9720" width="11.7109375" style="15" customWidth="1"/>
    <col min="9721" max="9721" width="25.28515625" style="15" customWidth="1"/>
    <col min="9722" max="9722" width="15.28515625" style="15" customWidth="1"/>
    <col min="9723" max="9723" width="14.5703125" style="15" customWidth="1"/>
    <col min="9724" max="9724" width="15.140625" style="15" customWidth="1"/>
    <col min="9725" max="9725" width="21.28515625" style="15" customWidth="1"/>
    <col min="9726" max="9726" width="18.7109375" style="15" customWidth="1"/>
    <col min="9727" max="9727" width="20.85546875" style="15" customWidth="1"/>
    <col min="9728" max="9728" width="20.5703125" style="15" customWidth="1"/>
    <col min="9729" max="9729" width="19.7109375" style="15" customWidth="1"/>
    <col min="9730" max="9730" width="18.28515625" style="15" customWidth="1"/>
    <col min="9731" max="9967" width="9.140625" style="15"/>
    <col min="9968" max="9968" width="7.7109375" style="15" customWidth="1"/>
    <col min="9969" max="9969" width="31.5703125" style="15" customWidth="1"/>
    <col min="9970" max="9970" width="24" style="15" customWidth="1"/>
    <col min="9971" max="9971" width="22.140625" style="15" customWidth="1"/>
    <col min="9972" max="9972" width="21.28515625" style="15" customWidth="1"/>
    <col min="9973" max="9973" width="20.7109375" style="15" customWidth="1"/>
    <col min="9974" max="9974" width="11.7109375" style="15" customWidth="1"/>
    <col min="9975" max="9975" width="12" style="15" customWidth="1"/>
    <col min="9976" max="9976" width="11.7109375" style="15" customWidth="1"/>
    <col min="9977" max="9977" width="25.28515625" style="15" customWidth="1"/>
    <col min="9978" max="9978" width="15.28515625" style="15" customWidth="1"/>
    <col min="9979" max="9979" width="14.5703125" style="15" customWidth="1"/>
    <col min="9980" max="9980" width="15.140625" style="15" customWidth="1"/>
    <col min="9981" max="9981" width="21.28515625" style="15" customWidth="1"/>
    <col min="9982" max="9982" width="18.7109375" style="15" customWidth="1"/>
    <col min="9983" max="9983" width="20.85546875" style="15" customWidth="1"/>
    <col min="9984" max="9984" width="20.5703125" style="15" customWidth="1"/>
    <col min="9985" max="9985" width="19.7109375" style="15" customWidth="1"/>
    <col min="9986" max="9986" width="18.28515625" style="15" customWidth="1"/>
    <col min="9987" max="10223" width="9.140625" style="15"/>
    <col min="10224" max="10224" width="7.7109375" style="15" customWidth="1"/>
    <col min="10225" max="10225" width="31.5703125" style="15" customWidth="1"/>
    <col min="10226" max="10226" width="24" style="15" customWidth="1"/>
    <col min="10227" max="10227" width="22.140625" style="15" customWidth="1"/>
    <col min="10228" max="10228" width="21.28515625" style="15" customWidth="1"/>
    <col min="10229" max="10229" width="20.7109375" style="15" customWidth="1"/>
    <col min="10230" max="10230" width="11.7109375" style="15" customWidth="1"/>
    <col min="10231" max="10231" width="12" style="15" customWidth="1"/>
    <col min="10232" max="10232" width="11.7109375" style="15" customWidth="1"/>
    <col min="10233" max="10233" width="25.28515625" style="15" customWidth="1"/>
    <col min="10234" max="10234" width="15.28515625" style="15" customWidth="1"/>
    <col min="10235" max="10235" width="14.5703125" style="15" customWidth="1"/>
    <col min="10236" max="10236" width="15.140625" style="15" customWidth="1"/>
    <col min="10237" max="10237" width="21.28515625" style="15" customWidth="1"/>
    <col min="10238" max="10238" width="18.7109375" style="15" customWidth="1"/>
    <col min="10239" max="10239" width="20.85546875" style="15" customWidth="1"/>
    <col min="10240" max="10240" width="20.5703125" style="15" customWidth="1"/>
    <col min="10241" max="10241" width="19.7109375" style="15" customWidth="1"/>
    <col min="10242" max="10242" width="18.28515625" style="15" customWidth="1"/>
    <col min="10243" max="10479" width="9.140625" style="15"/>
    <col min="10480" max="10480" width="7.7109375" style="15" customWidth="1"/>
    <col min="10481" max="10481" width="31.5703125" style="15" customWidth="1"/>
    <col min="10482" max="10482" width="24" style="15" customWidth="1"/>
    <col min="10483" max="10483" width="22.140625" style="15" customWidth="1"/>
    <col min="10484" max="10484" width="21.28515625" style="15" customWidth="1"/>
    <col min="10485" max="10485" width="20.7109375" style="15" customWidth="1"/>
    <col min="10486" max="10486" width="11.7109375" style="15" customWidth="1"/>
    <col min="10487" max="10487" width="12" style="15" customWidth="1"/>
    <col min="10488" max="10488" width="11.7109375" style="15" customWidth="1"/>
    <col min="10489" max="10489" width="25.28515625" style="15" customWidth="1"/>
    <col min="10490" max="10490" width="15.28515625" style="15" customWidth="1"/>
    <col min="10491" max="10491" width="14.5703125" style="15" customWidth="1"/>
    <col min="10492" max="10492" width="15.140625" style="15" customWidth="1"/>
    <col min="10493" max="10493" width="21.28515625" style="15" customWidth="1"/>
    <col min="10494" max="10494" width="18.7109375" style="15" customWidth="1"/>
    <col min="10495" max="10495" width="20.85546875" style="15" customWidth="1"/>
    <col min="10496" max="10496" width="20.5703125" style="15" customWidth="1"/>
    <col min="10497" max="10497" width="19.7109375" style="15" customWidth="1"/>
    <col min="10498" max="10498" width="18.28515625" style="15" customWidth="1"/>
    <col min="10499" max="10735" width="9.140625" style="15"/>
    <col min="10736" max="10736" width="7.7109375" style="15" customWidth="1"/>
    <col min="10737" max="10737" width="31.5703125" style="15" customWidth="1"/>
    <col min="10738" max="10738" width="24" style="15" customWidth="1"/>
    <col min="10739" max="10739" width="22.140625" style="15" customWidth="1"/>
    <col min="10740" max="10740" width="21.28515625" style="15" customWidth="1"/>
    <col min="10741" max="10741" width="20.7109375" style="15" customWidth="1"/>
    <col min="10742" max="10742" width="11.7109375" style="15" customWidth="1"/>
    <col min="10743" max="10743" width="12" style="15" customWidth="1"/>
    <col min="10744" max="10744" width="11.7109375" style="15" customWidth="1"/>
    <col min="10745" max="10745" width="25.28515625" style="15" customWidth="1"/>
    <col min="10746" max="10746" width="15.28515625" style="15" customWidth="1"/>
    <col min="10747" max="10747" width="14.5703125" style="15" customWidth="1"/>
    <col min="10748" max="10748" width="15.140625" style="15" customWidth="1"/>
    <col min="10749" max="10749" width="21.28515625" style="15" customWidth="1"/>
    <col min="10750" max="10750" width="18.7109375" style="15" customWidth="1"/>
    <col min="10751" max="10751" width="20.85546875" style="15" customWidth="1"/>
    <col min="10752" max="10752" width="20.5703125" style="15" customWidth="1"/>
    <col min="10753" max="10753" width="19.7109375" style="15" customWidth="1"/>
    <col min="10754" max="10754" width="18.28515625" style="15" customWidth="1"/>
    <col min="10755" max="10991" width="9.140625" style="15"/>
    <col min="10992" max="10992" width="7.7109375" style="15" customWidth="1"/>
    <col min="10993" max="10993" width="31.5703125" style="15" customWidth="1"/>
    <col min="10994" max="10994" width="24" style="15" customWidth="1"/>
    <col min="10995" max="10995" width="22.140625" style="15" customWidth="1"/>
    <col min="10996" max="10996" width="21.28515625" style="15" customWidth="1"/>
    <col min="10997" max="10997" width="20.7109375" style="15" customWidth="1"/>
    <col min="10998" max="10998" width="11.7109375" style="15" customWidth="1"/>
    <col min="10999" max="10999" width="12" style="15" customWidth="1"/>
    <col min="11000" max="11000" width="11.7109375" style="15" customWidth="1"/>
    <col min="11001" max="11001" width="25.28515625" style="15" customWidth="1"/>
    <col min="11002" max="11002" width="15.28515625" style="15" customWidth="1"/>
    <col min="11003" max="11003" width="14.5703125" style="15" customWidth="1"/>
    <col min="11004" max="11004" width="15.140625" style="15" customWidth="1"/>
    <col min="11005" max="11005" width="21.28515625" style="15" customWidth="1"/>
    <col min="11006" max="11006" width="18.7109375" style="15" customWidth="1"/>
    <col min="11007" max="11007" width="20.85546875" style="15" customWidth="1"/>
    <col min="11008" max="11008" width="20.5703125" style="15" customWidth="1"/>
    <col min="11009" max="11009" width="19.7109375" style="15" customWidth="1"/>
    <col min="11010" max="11010" width="18.28515625" style="15" customWidth="1"/>
    <col min="11011" max="11247" width="9.140625" style="15"/>
    <col min="11248" max="11248" width="7.7109375" style="15" customWidth="1"/>
    <col min="11249" max="11249" width="31.5703125" style="15" customWidth="1"/>
    <col min="11250" max="11250" width="24" style="15" customWidth="1"/>
    <col min="11251" max="11251" width="22.140625" style="15" customWidth="1"/>
    <col min="11252" max="11252" width="21.28515625" style="15" customWidth="1"/>
    <col min="11253" max="11253" width="20.7109375" style="15" customWidth="1"/>
    <col min="11254" max="11254" width="11.7109375" style="15" customWidth="1"/>
    <col min="11255" max="11255" width="12" style="15" customWidth="1"/>
    <col min="11256" max="11256" width="11.7109375" style="15" customWidth="1"/>
    <col min="11257" max="11257" width="25.28515625" style="15" customWidth="1"/>
    <col min="11258" max="11258" width="15.28515625" style="15" customWidth="1"/>
    <col min="11259" max="11259" width="14.5703125" style="15" customWidth="1"/>
    <col min="11260" max="11260" width="15.140625" style="15" customWidth="1"/>
    <col min="11261" max="11261" width="21.28515625" style="15" customWidth="1"/>
    <col min="11262" max="11262" width="18.7109375" style="15" customWidth="1"/>
    <col min="11263" max="11263" width="20.85546875" style="15" customWidth="1"/>
    <col min="11264" max="11264" width="20.5703125" style="15" customWidth="1"/>
    <col min="11265" max="11265" width="19.7109375" style="15" customWidth="1"/>
    <col min="11266" max="11266" width="18.28515625" style="15" customWidth="1"/>
    <col min="11267" max="11503" width="9.140625" style="15"/>
    <col min="11504" max="11504" width="7.7109375" style="15" customWidth="1"/>
    <col min="11505" max="11505" width="31.5703125" style="15" customWidth="1"/>
    <col min="11506" max="11506" width="24" style="15" customWidth="1"/>
    <col min="11507" max="11507" width="22.140625" style="15" customWidth="1"/>
    <col min="11508" max="11508" width="21.28515625" style="15" customWidth="1"/>
    <col min="11509" max="11509" width="20.7109375" style="15" customWidth="1"/>
    <col min="11510" max="11510" width="11.7109375" style="15" customWidth="1"/>
    <col min="11511" max="11511" width="12" style="15" customWidth="1"/>
    <col min="11512" max="11512" width="11.7109375" style="15" customWidth="1"/>
    <col min="11513" max="11513" width="25.28515625" style="15" customWidth="1"/>
    <col min="11514" max="11514" width="15.28515625" style="15" customWidth="1"/>
    <col min="11515" max="11515" width="14.5703125" style="15" customWidth="1"/>
    <col min="11516" max="11516" width="15.140625" style="15" customWidth="1"/>
    <col min="11517" max="11517" width="21.28515625" style="15" customWidth="1"/>
    <col min="11518" max="11518" width="18.7109375" style="15" customWidth="1"/>
    <col min="11519" max="11519" width="20.85546875" style="15" customWidth="1"/>
    <col min="11520" max="11520" width="20.5703125" style="15" customWidth="1"/>
    <col min="11521" max="11521" width="19.7109375" style="15" customWidth="1"/>
    <col min="11522" max="11522" width="18.28515625" style="15" customWidth="1"/>
    <col min="11523" max="11759" width="9.140625" style="15"/>
    <col min="11760" max="11760" width="7.7109375" style="15" customWidth="1"/>
    <col min="11761" max="11761" width="31.5703125" style="15" customWidth="1"/>
    <col min="11762" max="11762" width="24" style="15" customWidth="1"/>
    <col min="11763" max="11763" width="22.140625" style="15" customWidth="1"/>
    <col min="11764" max="11764" width="21.28515625" style="15" customWidth="1"/>
    <col min="11765" max="11765" width="20.7109375" style="15" customWidth="1"/>
    <col min="11766" max="11766" width="11.7109375" style="15" customWidth="1"/>
    <col min="11767" max="11767" width="12" style="15" customWidth="1"/>
    <col min="11768" max="11768" width="11.7109375" style="15" customWidth="1"/>
    <col min="11769" max="11769" width="25.28515625" style="15" customWidth="1"/>
    <col min="11770" max="11770" width="15.28515625" style="15" customWidth="1"/>
    <col min="11771" max="11771" width="14.5703125" style="15" customWidth="1"/>
    <col min="11772" max="11772" width="15.140625" style="15" customWidth="1"/>
    <col min="11773" max="11773" width="21.28515625" style="15" customWidth="1"/>
    <col min="11774" max="11774" width="18.7109375" style="15" customWidth="1"/>
    <col min="11775" max="11775" width="20.85546875" style="15" customWidth="1"/>
    <col min="11776" max="11776" width="20.5703125" style="15" customWidth="1"/>
    <col min="11777" max="11777" width="19.7109375" style="15" customWidth="1"/>
    <col min="11778" max="11778" width="18.28515625" style="15" customWidth="1"/>
    <col min="11779" max="12015" width="9.140625" style="15"/>
    <col min="12016" max="12016" width="7.7109375" style="15" customWidth="1"/>
    <col min="12017" max="12017" width="31.5703125" style="15" customWidth="1"/>
    <col min="12018" max="12018" width="24" style="15" customWidth="1"/>
    <col min="12019" max="12019" width="22.140625" style="15" customWidth="1"/>
    <col min="12020" max="12020" width="21.28515625" style="15" customWidth="1"/>
    <col min="12021" max="12021" width="20.7109375" style="15" customWidth="1"/>
    <col min="12022" max="12022" width="11.7109375" style="15" customWidth="1"/>
    <col min="12023" max="12023" width="12" style="15" customWidth="1"/>
    <col min="12024" max="12024" width="11.7109375" style="15" customWidth="1"/>
    <col min="12025" max="12025" width="25.28515625" style="15" customWidth="1"/>
    <col min="12026" max="12026" width="15.28515625" style="15" customWidth="1"/>
    <col min="12027" max="12027" width="14.5703125" style="15" customWidth="1"/>
    <col min="12028" max="12028" width="15.140625" style="15" customWidth="1"/>
    <col min="12029" max="12029" width="21.28515625" style="15" customWidth="1"/>
    <col min="12030" max="12030" width="18.7109375" style="15" customWidth="1"/>
    <col min="12031" max="12031" width="20.85546875" style="15" customWidth="1"/>
    <col min="12032" max="12032" width="20.5703125" style="15" customWidth="1"/>
    <col min="12033" max="12033" width="19.7109375" style="15" customWidth="1"/>
    <col min="12034" max="12034" width="18.28515625" style="15" customWidth="1"/>
    <col min="12035" max="12271" width="9.140625" style="15"/>
    <col min="12272" max="12272" width="7.7109375" style="15" customWidth="1"/>
    <col min="12273" max="12273" width="31.5703125" style="15" customWidth="1"/>
    <col min="12274" max="12274" width="24" style="15" customWidth="1"/>
    <col min="12275" max="12275" width="22.140625" style="15" customWidth="1"/>
    <col min="12276" max="12276" width="21.28515625" style="15" customWidth="1"/>
    <col min="12277" max="12277" width="20.7109375" style="15" customWidth="1"/>
    <col min="12278" max="12278" width="11.7109375" style="15" customWidth="1"/>
    <col min="12279" max="12279" width="12" style="15" customWidth="1"/>
    <col min="12280" max="12280" width="11.7109375" style="15" customWidth="1"/>
    <col min="12281" max="12281" width="25.28515625" style="15" customWidth="1"/>
    <col min="12282" max="12282" width="15.28515625" style="15" customWidth="1"/>
    <col min="12283" max="12283" width="14.5703125" style="15" customWidth="1"/>
    <col min="12284" max="12284" width="15.140625" style="15" customWidth="1"/>
    <col min="12285" max="12285" width="21.28515625" style="15" customWidth="1"/>
    <col min="12286" max="12286" width="18.7109375" style="15" customWidth="1"/>
    <col min="12287" max="12287" width="20.85546875" style="15" customWidth="1"/>
    <col min="12288" max="12288" width="20.5703125" style="15" customWidth="1"/>
    <col min="12289" max="12289" width="19.7109375" style="15" customWidth="1"/>
    <col min="12290" max="12290" width="18.28515625" style="15" customWidth="1"/>
    <col min="12291" max="12527" width="9.140625" style="15"/>
    <col min="12528" max="12528" width="7.7109375" style="15" customWidth="1"/>
    <col min="12529" max="12529" width="31.5703125" style="15" customWidth="1"/>
    <col min="12530" max="12530" width="24" style="15" customWidth="1"/>
    <col min="12531" max="12531" width="22.140625" style="15" customWidth="1"/>
    <col min="12532" max="12532" width="21.28515625" style="15" customWidth="1"/>
    <col min="12533" max="12533" width="20.7109375" style="15" customWidth="1"/>
    <col min="12534" max="12534" width="11.7109375" style="15" customWidth="1"/>
    <col min="12535" max="12535" width="12" style="15" customWidth="1"/>
    <col min="12536" max="12536" width="11.7109375" style="15" customWidth="1"/>
    <col min="12537" max="12537" width="25.28515625" style="15" customWidth="1"/>
    <col min="12538" max="12538" width="15.28515625" style="15" customWidth="1"/>
    <col min="12539" max="12539" width="14.5703125" style="15" customWidth="1"/>
    <col min="12540" max="12540" width="15.140625" style="15" customWidth="1"/>
    <col min="12541" max="12541" width="21.28515625" style="15" customWidth="1"/>
    <col min="12542" max="12542" width="18.7109375" style="15" customWidth="1"/>
    <col min="12543" max="12543" width="20.85546875" style="15" customWidth="1"/>
    <col min="12544" max="12544" width="20.5703125" style="15" customWidth="1"/>
    <col min="12545" max="12545" width="19.7109375" style="15" customWidth="1"/>
    <col min="12546" max="12546" width="18.28515625" style="15" customWidth="1"/>
    <col min="12547" max="12783" width="9.140625" style="15"/>
    <col min="12784" max="12784" width="7.7109375" style="15" customWidth="1"/>
    <col min="12785" max="12785" width="31.5703125" style="15" customWidth="1"/>
    <col min="12786" max="12786" width="24" style="15" customWidth="1"/>
    <col min="12787" max="12787" width="22.140625" style="15" customWidth="1"/>
    <col min="12788" max="12788" width="21.28515625" style="15" customWidth="1"/>
    <col min="12789" max="12789" width="20.7109375" style="15" customWidth="1"/>
    <col min="12790" max="12790" width="11.7109375" style="15" customWidth="1"/>
    <col min="12791" max="12791" width="12" style="15" customWidth="1"/>
    <col min="12792" max="12792" width="11.7109375" style="15" customWidth="1"/>
    <col min="12793" max="12793" width="25.28515625" style="15" customWidth="1"/>
    <col min="12794" max="12794" width="15.28515625" style="15" customWidth="1"/>
    <col min="12795" max="12795" width="14.5703125" style="15" customWidth="1"/>
    <col min="12796" max="12796" width="15.140625" style="15" customWidth="1"/>
    <col min="12797" max="12797" width="21.28515625" style="15" customWidth="1"/>
    <col min="12798" max="12798" width="18.7109375" style="15" customWidth="1"/>
    <col min="12799" max="12799" width="20.85546875" style="15" customWidth="1"/>
    <col min="12800" max="12800" width="20.5703125" style="15" customWidth="1"/>
    <col min="12801" max="12801" width="19.7109375" style="15" customWidth="1"/>
    <col min="12802" max="12802" width="18.28515625" style="15" customWidth="1"/>
    <col min="12803" max="13039" width="9.140625" style="15"/>
    <col min="13040" max="13040" width="7.7109375" style="15" customWidth="1"/>
    <col min="13041" max="13041" width="31.5703125" style="15" customWidth="1"/>
    <col min="13042" max="13042" width="24" style="15" customWidth="1"/>
    <col min="13043" max="13043" width="22.140625" style="15" customWidth="1"/>
    <col min="13044" max="13044" width="21.28515625" style="15" customWidth="1"/>
    <col min="13045" max="13045" width="20.7109375" style="15" customWidth="1"/>
    <col min="13046" max="13046" width="11.7109375" style="15" customWidth="1"/>
    <col min="13047" max="13047" width="12" style="15" customWidth="1"/>
    <col min="13048" max="13048" width="11.7109375" style="15" customWidth="1"/>
    <col min="13049" max="13049" width="25.28515625" style="15" customWidth="1"/>
    <col min="13050" max="13050" width="15.28515625" style="15" customWidth="1"/>
    <col min="13051" max="13051" width="14.5703125" style="15" customWidth="1"/>
    <col min="13052" max="13052" width="15.140625" style="15" customWidth="1"/>
    <col min="13053" max="13053" width="21.28515625" style="15" customWidth="1"/>
    <col min="13054" max="13054" width="18.7109375" style="15" customWidth="1"/>
    <col min="13055" max="13055" width="20.85546875" style="15" customWidth="1"/>
    <col min="13056" max="13056" width="20.5703125" style="15" customWidth="1"/>
    <col min="13057" max="13057" width="19.7109375" style="15" customWidth="1"/>
    <col min="13058" max="13058" width="18.28515625" style="15" customWidth="1"/>
    <col min="13059" max="13295" width="9.140625" style="15"/>
    <col min="13296" max="13296" width="7.7109375" style="15" customWidth="1"/>
    <col min="13297" max="13297" width="31.5703125" style="15" customWidth="1"/>
    <col min="13298" max="13298" width="24" style="15" customWidth="1"/>
    <col min="13299" max="13299" width="22.140625" style="15" customWidth="1"/>
    <col min="13300" max="13300" width="21.28515625" style="15" customWidth="1"/>
    <col min="13301" max="13301" width="20.7109375" style="15" customWidth="1"/>
    <col min="13302" max="13302" width="11.7109375" style="15" customWidth="1"/>
    <col min="13303" max="13303" width="12" style="15" customWidth="1"/>
    <col min="13304" max="13304" width="11.7109375" style="15" customWidth="1"/>
    <col min="13305" max="13305" width="25.28515625" style="15" customWidth="1"/>
    <col min="13306" max="13306" width="15.28515625" style="15" customWidth="1"/>
    <col min="13307" max="13307" width="14.5703125" style="15" customWidth="1"/>
    <col min="13308" max="13308" width="15.140625" style="15" customWidth="1"/>
    <col min="13309" max="13309" width="21.28515625" style="15" customWidth="1"/>
    <col min="13310" max="13310" width="18.7109375" style="15" customWidth="1"/>
    <col min="13311" max="13311" width="20.85546875" style="15" customWidth="1"/>
    <col min="13312" max="13312" width="20.5703125" style="15" customWidth="1"/>
    <col min="13313" max="13313" width="19.7109375" style="15" customWidth="1"/>
    <col min="13314" max="13314" width="18.28515625" style="15" customWidth="1"/>
    <col min="13315" max="13551" width="9.140625" style="15"/>
    <col min="13552" max="13552" width="7.7109375" style="15" customWidth="1"/>
    <col min="13553" max="13553" width="31.5703125" style="15" customWidth="1"/>
    <col min="13554" max="13554" width="24" style="15" customWidth="1"/>
    <col min="13555" max="13555" width="22.140625" style="15" customWidth="1"/>
    <col min="13556" max="13556" width="21.28515625" style="15" customWidth="1"/>
    <col min="13557" max="13557" width="20.7109375" style="15" customWidth="1"/>
    <col min="13558" max="13558" width="11.7109375" style="15" customWidth="1"/>
    <col min="13559" max="13559" width="12" style="15" customWidth="1"/>
    <col min="13560" max="13560" width="11.7109375" style="15" customWidth="1"/>
    <col min="13561" max="13561" width="25.28515625" style="15" customWidth="1"/>
    <col min="13562" max="13562" width="15.28515625" style="15" customWidth="1"/>
    <col min="13563" max="13563" width="14.5703125" style="15" customWidth="1"/>
    <col min="13564" max="13564" width="15.140625" style="15" customWidth="1"/>
    <col min="13565" max="13565" width="21.28515625" style="15" customWidth="1"/>
    <col min="13566" max="13566" width="18.7109375" style="15" customWidth="1"/>
    <col min="13567" max="13567" width="20.85546875" style="15" customWidth="1"/>
    <col min="13568" max="13568" width="20.5703125" style="15" customWidth="1"/>
    <col min="13569" max="13569" width="19.7109375" style="15" customWidth="1"/>
    <col min="13570" max="13570" width="18.28515625" style="15" customWidth="1"/>
    <col min="13571" max="13807" width="9.140625" style="15"/>
    <col min="13808" max="13808" width="7.7109375" style="15" customWidth="1"/>
    <col min="13809" max="13809" width="31.5703125" style="15" customWidth="1"/>
    <col min="13810" max="13810" width="24" style="15" customWidth="1"/>
    <col min="13811" max="13811" width="22.140625" style="15" customWidth="1"/>
    <col min="13812" max="13812" width="21.28515625" style="15" customWidth="1"/>
    <col min="13813" max="13813" width="20.7109375" style="15" customWidth="1"/>
    <col min="13814" max="13814" width="11.7109375" style="15" customWidth="1"/>
    <col min="13815" max="13815" width="12" style="15" customWidth="1"/>
    <col min="13816" max="13816" width="11.7109375" style="15" customWidth="1"/>
    <col min="13817" max="13817" width="25.28515625" style="15" customWidth="1"/>
    <col min="13818" max="13818" width="15.28515625" style="15" customWidth="1"/>
    <col min="13819" max="13819" width="14.5703125" style="15" customWidth="1"/>
    <col min="13820" max="13820" width="15.140625" style="15" customWidth="1"/>
    <col min="13821" max="13821" width="21.28515625" style="15" customWidth="1"/>
    <col min="13822" max="13822" width="18.7109375" style="15" customWidth="1"/>
    <col min="13823" max="13823" width="20.85546875" style="15" customWidth="1"/>
    <col min="13824" max="13824" width="20.5703125" style="15" customWidth="1"/>
    <col min="13825" max="13825" width="19.7109375" style="15" customWidth="1"/>
    <col min="13826" max="13826" width="18.28515625" style="15" customWidth="1"/>
    <col min="13827" max="14063" width="9.140625" style="15"/>
    <col min="14064" max="14064" width="7.7109375" style="15" customWidth="1"/>
    <col min="14065" max="14065" width="31.5703125" style="15" customWidth="1"/>
    <col min="14066" max="14066" width="24" style="15" customWidth="1"/>
    <col min="14067" max="14067" width="22.140625" style="15" customWidth="1"/>
    <col min="14068" max="14068" width="21.28515625" style="15" customWidth="1"/>
    <col min="14069" max="14069" width="20.7109375" style="15" customWidth="1"/>
    <col min="14070" max="14070" width="11.7109375" style="15" customWidth="1"/>
    <col min="14071" max="14071" width="12" style="15" customWidth="1"/>
    <col min="14072" max="14072" width="11.7109375" style="15" customWidth="1"/>
    <col min="14073" max="14073" width="25.28515625" style="15" customWidth="1"/>
    <col min="14074" max="14074" width="15.28515625" style="15" customWidth="1"/>
    <col min="14075" max="14075" width="14.5703125" style="15" customWidth="1"/>
    <col min="14076" max="14076" width="15.140625" style="15" customWidth="1"/>
    <col min="14077" max="14077" width="21.28515625" style="15" customWidth="1"/>
    <col min="14078" max="14078" width="18.7109375" style="15" customWidth="1"/>
    <col min="14079" max="14079" width="20.85546875" style="15" customWidth="1"/>
    <col min="14080" max="14080" width="20.5703125" style="15" customWidth="1"/>
    <col min="14081" max="14081" width="19.7109375" style="15" customWidth="1"/>
    <col min="14082" max="14082" width="18.28515625" style="15" customWidth="1"/>
    <col min="14083" max="14319" width="9.140625" style="15"/>
    <col min="14320" max="14320" width="7.7109375" style="15" customWidth="1"/>
    <col min="14321" max="14321" width="31.5703125" style="15" customWidth="1"/>
    <col min="14322" max="14322" width="24" style="15" customWidth="1"/>
    <col min="14323" max="14323" width="22.140625" style="15" customWidth="1"/>
    <col min="14324" max="14324" width="21.28515625" style="15" customWidth="1"/>
    <col min="14325" max="14325" width="20.7109375" style="15" customWidth="1"/>
    <col min="14326" max="14326" width="11.7109375" style="15" customWidth="1"/>
    <col min="14327" max="14327" width="12" style="15" customWidth="1"/>
    <col min="14328" max="14328" width="11.7109375" style="15" customWidth="1"/>
    <col min="14329" max="14329" width="25.28515625" style="15" customWidth="1"/>
    <col min="14330" max="14330" width="15.28515625" style="15" customWidth="1"/>
    <col min="14331" max="14331" width="14.5703125" style="15" customWidth="1"/>
    <col min="14332" max="14332" width="15.140625" style="15" customWidth="1"/>
    <col min="14333" max="14333" width="21.28515625" style="15" customWidth="1"/>
    <col min="14334" max="14334" width="18.7109375" style="15" customWidth="1"/>
    <col min="14335" max="14335" width="20.85546875" style="15" customWidth="1"/>
    <col min="14336" max="14336" width="20.5703125" style="15" customWidth="1"/>
    <col min="14337" max="14337" width="19.7109375" style="15" customWidth="1"/>
    <col min="14338" max="14338" width="18.28515625" style="15" customWidth="1"/>
    <col min="14339" max="14575" width="9.140625" style="15"/>
    <col min="14576" max="14576" width="7.7109375" style="15" customWidth="1"/>
    <col min="14577" max="14577" width="31.5703125" style="15" customWidth="1"/>
    <col min="14578" max="14578" width="24" style="15" customWidth="1"/>
    <col min="14579" max="14579" width="22.140625" style="15" customWidth="1"/>
    <col min="14580" max="14580" width="21.28515625" style="15" customWidth="1"/>
    <col min="14581" max="14581" width="20.7109375" style="15" customWidth="1"/>
    <col min="14582" max="14582" width="11.7109375" style="15" customWidth="1"/>
    <col min="14583" max="14583" width="12" style="15" customWidth="1"/>
    <col min="14584" max="14584" width="11.7109375" style="15" customWidth="1"/>
    <col min="14585" max="14585" width="25.28515625" style="15" customWidth="1"/>
    <col min="14586" max="14586" width="15.28515625" style="15" customWidth="1"/>
    <col min="14587" max="14587" width="14.5703125" style="15" customWidth="1"/>
    <col min="14588" max="14588" width="15.140625" style="15" customWidth="1"/>
    <col min="14589" max="14589" width="21.28515625" style="15" customWidth="1"/>
    <col min="14590" max="14590" width="18.7109375" style="15" customWidth="1"/>
    <col min="14591" max="14591" width="20.85546875" style="15" customWidth="1"/>
    <col min="14592" max="14592" width="20.5703125" style="15" customWidth="1"/>
    <col min="14593" max="14593" width="19.7109375" style="15" customWidth="1"/>
    <col min="14594" max="14594" width="18.28515625" style="15" customWidth="1"/>
    <col min="14595" max="14831" width="9.140625" style="15"/>
    <col min="14832" max="14832" width="7.7109375" style="15" customWidth="1"/>
    <col min="14833" max="14833" width="31.5703125" style="15" customWidth="1"/>
    <col min="14834" max="14834" width="24" style="15" customWidth="1"/>
    <col min="14835" max="14835" width="22.140625" style="15" customWidth="1"/>
    <col min="14836" max="14836" width="21.28515625" style="15" customWidth="1"/>
    <col min="14837" max="14837" width="20.7109375" style="15" customWidth="1"/>
    <col min="14838" max="14838" width="11.7109375" style="15" customWidth="1"/>
    <col min="14839" max="14839" width="12" style="15" customWidth="1"/>
    <col min="14840" max="14840" width="11.7109375" style="15" customWidth="1"/>
    <col min="14841" max="14841" width="25.28515625" style="15" customWidth="1"/>
    <col min="14842" max="14842" width="15.28515625" style="15" customWidth="1"/>
    <col min="14843" max="14843" width="14.5703125" style="15" customWidth="1"/>
    <col min="14844" max="14844" width="15.140625" style="15" customWidth="1"/>
    <col min="14845" max="14845" width="21.28515625" style="15" customWidth="1"/>
    <col min="14846" max="14846" width="18.7109375" style="15" customWidth="1"/>
    <col min="14847" max="14847" width="20.85546875" style="15" customWidth="1"/>
    <col min="14848" max="14848" width="20.5703125" style="15" customWidth="1"/>
    <col min="14849" max="14849" width="19.7109375" style="15" customWidth="1"/>
    <col min="14850" max="14850" width="18.28515625" style="15" customWidth="1"/>
    <col min="14851" max="15087" width="9.140625" style="15"/>
    <col min="15088" max="15088" width="7.7109375" style="15" customWidth="1"/>
    <col min="15089" max="15089" width="31.5703125" style="15" customWidth="1"/>
    <col min="15090" max="15090" width="24" style="15" customWidth="1"/>
    <col min="15091" max="15091" width="22.140625" style="15" customWidth="1"/>
    <col min="15092" max="15092" width="21.28515625" style="15" customWidth="1"/>
    <col min="15093" max="15093" width="20.7109375" style="15" customWidth="1"/>
    <col min="15094" max="15094" width="11.7109375" style="15" customWidth="1"/>
    <col min="15095" max="15095" width="12" style="15" customWidth="1"/>
    <col min="15096" max="15096" width="11.7109375" style="15" customWidth="1"/>
    <col min="15097" max="15097" width="25.28515625" style="15" customWidth="1"/>
    <col min="15098" max="15098" width="15.28515625" style="15" customWidth="1"/>
    <col min="15099" max="15099" width="14.5703125" style="15" customWidth="1"/>
    <col min="15100" max="15100" width="15.140625" style="15" customWidth="1"/>
    <col min="15101" max="15101" width="21.28515625" style="15" customWidth="1"/>
    <col min="15102" max="15102" width="18.7109375" style="15" customWidth="1"/>
    <col min="15103" max="15103" width="20.85546875" style="15" customWidth="1"/>
    <col min="15104" max="15104" width="20.5703125" style="15" customWidth="1"/>
    <col min="15105" max="15105" width="19.7109375" style="15" customWidth="1"/>
    <col min="15106" max="15106" width="18.28515625" style="15" customWidth="1"/>
    <col min="15107" max="15343" width="9.140625" style="15"/>
    <col min="15344" max="15344" width="7.7109375" style="15" customWidth="1"/>
    <col min="15345" max="15345" width="31.5703125" style="15" customWidth="1"/>
    <col min="15346" max="15346" width="24" style="15" customWidth="1"/>
    <col min="15347" max="15347" width="22.140625" style="15" customWidth="1"/>
    <col min="15348" max="15348" width="21.28515625" style="15" customWidth="1"/>
    <col min="15349" max="15349" width="20.7109375" style="15" customWidth="1"/>
    <col min="15350" max="15350" width="11.7109375" style="15" customWidth="1"/>
    <col min="15351" max="15351" width="12" style="15" customWidth="1"/>
    <col min="15352" max="15352" width="11.7109375" style="15" customWidth="1"/>
    <col min="15353" max="15353" width="25.28515625" style="15" customWidth="1"/>
    <col min="15354" max="15354" width="15.28515625" style="15" customWidth="1"/>
    <col min="15355" max="15355" width="14.5703125" style="15" customWidth="1"/>
    <col min="15356" max="15356" width="15.140625" style="15" customWidth="1"/>
    <col min="15357" max="15357" width="21.28515625" style="15" customWidth="1"/>
    <col min="15358" max="15358" width="18.7109375" style="15" customWidth="1"/>
    <col min="15359" max="15359" width="20.85546875" style="15" customWidth="1"/>
    <col min="15360" max="15360" width="20.5703125" style="15" customWidth="1"/>
    <col min="15361" max="15361" width="19.7109375" style="15" customWidth="1"/>
    <col min="15362" max="15362" width="18.28515625" style="15" customWidth="1"/>
    <col min="15363" max="15599" width="9.140625" style="15"/>
    <col min="15600" max="15600" width="7.7109375" style="15" customWidth="1"/>
    <col min="15601" max="15601" width="31.5703125" style="15" customWidth="1"/>
    <col min="15602" max="15602" width="24" style="15" customWidth="1"/>
    <col min="15603" max="15603" width="22.140625" style="15" customWidth="1"/>
    <col min="15604" max="15604" width="21.28515625" style="15" customWidth="1"/>
    <col min="15605" max="15605" width="20.7109375" style="15" customWidth="1"/>
    <col min="15606" max="15606" width="11.7109375" style="15" customWidth="1"/>
    <col min="15607" max="15607" width="12" style="15" customWidth="1"/>
    <col min="15608" max="15608" width="11.7109375" style="15" customWidth="1"/>
    <col min="15609" max="15609" width="25.28515625" style="15" customWidth="1"/>
    <col min="15610" max="15610" width="15.28515625" style="15" customWidth="1"/>
    <col min="15611" max="15611" width="14.5703125" style="15" customWidth="1"/>
    <col min="15612" max="15612" width="15.140625" style="15" customWidth="1"/>
    <col min="15613" max="15613" width="21.28515625" style="15" customWidth="1"/>
    <col min="15614" max="15614" width="18.7109375" style="15" customWidth="1"/>
    <col min="15615" max="15615" width="20.85546875" style="15" customWidth="1"/>
    <col min="15616" max="15616" width="20.5703125" style="15" customWidth="1"/>
    <col min="15617" max="15617" width="19.7109375" style="15" customWidth="1"/>
    <col min="15618" max="15618" width="18.28515625" style="15" customWidth="1"/>
    <col min="15619" max="15855" width="9.140625" style="15"/>
    <col min="15856" max="15856" width="7.7109375" style="15" customWidth="1"/>
    <col min="15857" max="15857" width="31.5703125" style="15" customWidth="1"/>
    <col min="15858" max="15858" width="24" style="15" customWidth="1"/>
    <col min="15859" max="15859" width="22.140625" style="15" customWidth="1"/>
    <col min="15860" max="15860" width="21.28515625" style="15" customWidth="1"/>
    <col min="15861" max="15861" width="20.7109375" style="15" customWidth="1"/>
    <col min="15862" max="15862" width="11.7109375" style="15" customWidth="1"/>
    <col min="15863" max="15863" width="12" style="15" customWidth="1"/>
    <col min="15864" max="15864" width="11.7109375" style="15" customWidth="1"/>
    <col min="15865" max="15865" width="25.28515625" style="15" customWidth="1"/>
    <col min="15866" max="15866" width="15.28515625" style="15" customWidth="1"/>
    <col min="15867" max="15867" width="14.5703125" style="15" customWidth="1"/>
    <col min="15868" max="15868" width="15.140625" style="15" customWidth="1"/>
    <col min="15869" max="15869" width="21.28515625" style="15" customWidth="1"/>
    <col min="15870" max="15870" width="18.7109375" style="15" customWidth="1"/>
    <col min="15871" max="15871" width="20.85546875" style="15" customWidth="1"/>
    <col min="15872" max="15872" width="20.5703125" style="15" customWidth="1"/>
    <col min="15873" max="15873" width="19.7109375" style="15" customWidth="1"/>
    <col min="15874" max="15874" width="18.28515625" style="15" customWidth="1"/>
    <col min="15875" max="16111" width="9.140625" style="15"/>
    <col min="16112" max="16112" width="7.7109375" style="15" customWidth="1"/>
    <col min="16113" max="16113" width="31.5703125" style="15" customWidth="1"/>
    <col min="16114" max="16114" width="24" style="15" customWidth="1"/>
    <col min="16115" max="16115" width="22.140625" style="15" customWidth="1"/>
    <col min="16116" max="16116" width="21.28515625" style="15" customWidth="1"/>
    <col min="16117" max="16117" width="20.7109375" style="15" customWidth="1"/>
    <col min="16118" max="16118" width="11.7109375" style="15" customWidth="1"/>
    <col min="16119" max="16119" width="12" style="15" customWidth="1"/>
    <col min="16120" max="16120" width="11.7109375" style="15" customWidth="1"/>
    <col min="16121" max="16121" width="25.28515625" style="15" customWidth="1"/>
    <col min="16122" max="16122" width="15.28515625" style="15" customWidth="1"/>
    <col min="16123" max="16123" width="14.5703125" style="15" customWidth="1"/>
    <col min="16124" max="16124" width="15.140625" style="15" customWidth="1"/>
    <col min="16125" max="16125" width="21.28515625" style="15" customWidth="1"/>
    <col min="16126" max="16126" width="18.7109375" style="15" customWidth="1"/>
    <col min="16127" max="16127" width="20.85546875" style="15" customWidth="1"/>
    <col min="16128" max="16128" width="20.5703125" style="15" customWidth="1"/>
    <col min="16129" max="16129" width="19.7109375" style="15" customWidth="1"/>
    <col min="16130" max="16130" width="18.28515625" style="15" customWidth="1"/>
    <col min="16131" max="16384" width="9.140625" style="15"/>
  </cols>
  <sheetData>
    <row r="1" spans="1:17" ht="36" customHeight="1" x14ac:dyDescent="0.25">
      <c r="A1" s="48" t="s">
        <v>45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32.25" customHeight="1" x14ac:dyDescent="0.25">
      <c r="A2" s="49" t="s">
        <v>0</v>
      </c>
      <c r="B2" s="49" t="s">
        <v>1</v>
      </c>
      <c r="C2" s="46" t="s">
        <v>42</v>
      </c>
      <c r="D2" s="46" t="s">
        <v>2</v>
      </c>
      <c r="E2" s="46" t="s">
        <v>3</v>
      </c>
      <c r="F2" s="46" t="s">
        <v>43</v>
      </c>
      <c r="G2" s="46"/>
      <c r="H2" s="46"/>
      <c r="I2" s="46" t="s">
        <v>4</v>
      </c>
      <c r="J2" s="46" t="s">
        <v>5</v>
      </c>
      <c r="K2" s="46"/>
      <c r="L2" s="46"/>
      <c r="M2" s="46" t="s">
        <v>6</v>
      </c>
      <c r="N2" s="46" t="s">
        <v>7</v>
      </c>
      <c r="O2" s="49" t="s">
        <v>8</v>
      </c>
      <c r="P2" s="49" t="s">
        <v>9</v>
      </c>
      <c r="Q2" s="49" t="s">
        <v>10</v>
      </c>
    </row>
    <row r="3" spans="1:17" ht="72" customHeight="1" x14ac:dyDescent="0.25">
      <c r="A3" s="49"/>
      <c r="B3" s="49"/>
      <c r="C3" s="46"/>
      <c r="D3" s="46"/>
      <c r="E3" s="46"/>
      <c r="F3" s="21" t="s">
        <v>11</v>
      </c>
      <c r="G3" s="21" t="s">
        <v>12</v>
      </c>
      <c r="H3" s="21" t="s">
        <v>13</v>
      </c>
      <c r="I3" s="46"/>
      <c r="J3" s="22">
        <v>0.2</v>
      </c>
      <c r="K3" s="22">
        <v>0.5</v>
      </c>
      <c r="L3" s="22">
        <v>0.7</v>
      </c>
      <c r="M3" s="46"/>
      <c r="N3" s="46"/>
      <c r="O3" s="49"/>
      <c r="P3" s="49"/>
      <c r="Q3" s="49"/>
    </row>
    <row r="4" spans="1:17" ht="12.75" customHeight="1" x14ac:dyDescent="0.25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21">
        <v>6</v>
      </c>
      <c r="G4" s="21">
        <v>7</v>
      </c>
      <c r="H4" s="21">
        <v>8</v>
      </c>
      <c r="I4" s="23">
        <v>9</v>
      </c>
      <c r="J4" s="23">
        <v>10</v>
      </c>
      <c r="K4" s="23">
        <v>11</v>
      </c>
      <c r="L4" s="23">
        <v>12</v>
      </c>
      <c r="M4" s="23">
        <v>13</v>
      </c>
      <c r="N4" s="23">
        <v>14</v>
      </c>
      <c r="O4" s="23">
        <v>15</v>
      </c>
      <c r="P4" s="23">
        <v>16</v>
      </c>
      <c r="Q4" s="23">
        <v>17</v>
      </c>
    </row>
    <row r="5" spans="1:17" s="16" customFormat="1" x14ac:dyDescent="0.2">
      <c r="A5" s="24">
        <v>1</v>
      </c>
      <c r="B5" s="25" t="s">
        <v>14</v>
      </c>
      <c r="C5" s="26">
        <f>C6+C7</f>
        <v>26</v>
      </c>
      <c r="D5" s="26">
        <f t="shared" ref="D5" si="0">D6+D7</f>
        <v>7910</v>
      </c>
      <c r="E5" s="26">
        <f>E6+E7</f>
        <v>7203</v>
      </c>
      <c r="F5" s="26">
        <f>F6+F7</f>
        <v>3396</v>
      </c>
      <c r="G5" s="26">
        <f t="shared" ref="G5:H5" si="1">G6+G7</f>
        <v>3258</v>
      </c>
      <c r="H5" s="26">
        <f t="shared" si="1"/>
        <v>549</v>
      </c>
      <c r="I5" s="26"/>
      <c r="J5" s="27">
        <f>J6+J7</f>
        <v>1920520</v>
      </c>
      <c r="K5" s="27">
        <f t="shared" ref="K5:N5" si="2">K6+K7</f>
        <v>4537226</v>
      </c>
      <c r="L5" s="27">
        <f t="shared" si="2"/>
        <v>1074949.3999999999</v>
      </c>
      <c r="M5" s="27">
        <f t="shared" si="2"/>
        <v>7532695.4000000004</v>
      </c>
      <c r="N5" s="27">
        <f t="shared" si="2"/>
        <v>67798.399999999994</v>
      </c>
      <c r="O5" s="37"/>
      <c r="P5" s="27">
        <f t="shared" ref="P5:Q5" si="3">P6+P7</f>
        <v>4912</v>
      </c>
      <c r="Q5" s="27">
        <f t="shared" si="3"/>
        <v>72710.399999999994</v>
      </c>
    </row>
    <row r="6" spans="1:17" x14ac:dyDescent="0.25">
      <c r="A6" s="23"/>
      <c r="B6" s="28" t="s">
        <v>15</v>
      </c>
      <c r="C6" s="21">
        <v>22</v>
      </c>
      <c r="D6" s="21">
        <f>7055-197</f>
        <v>6858</v>
      </c>
      <c r="E6" s="21">
        <f>F6+G6+H6</f>
        <v>6151</v>
      </c>
      <c r="F6" s="29">
        <f>3186-200</f>
        <v>2986</v>
      </c>
      <c r="G6" s="29">
        <f>3002-300</f>
        <v>2702</v>
      </c>
      <c r="H6" s="29">
        <f>863-400</f>
        <v>463</v>
      </c>
      <c r="I6" s="21">
        <v>2930</v>
      </c>
      <c r="J6" s="30">
        <f t="shared" ref="J6:J7" si="4">(I6*F6*0.2)</f>
        <v>1749796</v>
      </c>
      <c r="K6" s="30">
        <f t="shared" ref="K6:K7" si="5">(I6*G6*0.5)</f>
        <v>3958430</v>
      </c>
      <c r="L6" s="30">
        <f t="shared" ref="L6:L7" si="6">(I6*H6*0.7)</f>
        <v>949612.99999999988</v>
      </c>
      <c r="M6" s="30">
        <f>J6+K6+L6</f>
        <v>6657839</v>
      </c>
      <c r="N6" s="30">
        <f>ROUND((M6*9/1000),0)+3.4</f>
        <v>59924.4</v>
      </c>
      <c r="O6" s="30">
        <v>621</v>
      </c>
      <c r="P6" s="30">
        <f>ROUND(D6*O6/1000,0)</f>
        <v>4259</v>
      </c>
      <c r="Q6" s="30">
        <f>N6+P6</f>
        <v>64183.4</v>
      </c>
    </row>
    <row r="7" spans="1:17" x14ac:dyDescent="0.25">
      <c r="A7" s="23"/>
      <c r="B7" s="28" t="s">
        <v>16</v>
      </c>
      <c r="C7" s="21">
        <v>4</v>
      </c>
      <c r="D7" s="21">
        <v>1052</v>
      </c>
      <c r="E7" s="21">
        <f>F7+G7+H7</f>
        <v>1052</v>
      </c>
      <c r="F7" s="29">
        <f>213+197</f>
        <v>410</v>
      </c>
      <c r="G7" s="29">
        <v>556</v>
      </c>
      <c r="H7" s="29">
        <v>86</v>
      </c>
      <c r="I7" s="21">
        <v>2082</v>
      </c>
      <c r="J7" s="30">
        <f t="shared" si="4"/>
        <v>170724</v>
      </c>
      <c r="K7" s="30">
        <f t="shared" si="5"/>
        <v>578796</v>
      </c>
      <c r="L7" s="30">
        <f t="shared" si="6"/>
        <v>125336.4</v>
      </c>
      <c r="M7" s="30">
        <f>J7+K7+L7</f>
        <v>874856.4</v>
      </c>
      <c r="N7" s="30">
        <f>ROUND((M7*9/1000),0)</f>
        <v>7874</v>
      </c>
      <c r="O7" s="30">
        <v>621</v>
      </c>
      <c r="P7" s="30">
        <f>ROUND(D7*O7/1000,0)</f>
        <v>653</v>
      </c>
      <c r="Q7" s="30">
        <f>N7+P7</f>
        <v>8527</v>
      </c>
    </row>
    <row r="8" spans="1:17" s="16" customFormat="1" x14ac:dyDescent="0.2">
      <c r="A8" s="24">
        <v>2</v>
      </c>
      <c r="B8" s="25" t="s">
        <v>17</v>
      </c>
      <c r="C8" s="26">
        <f>C9+C10</f>
        <v>58</v>
      </c>
      <c r="D8" s="26">
        <f t="shared" ref="D8" si="7">D9+D10</f>
        <v>32099</v>
      </c>
      <c r="E8" s="26">
        <f>E9+E10</f>
        <v>25058</v>
      </c>
      <c r="F8" s="26">
        <f>F9+F10</f>
        <v>11828</v>
      </c>
      <c r="G8" s="26">
        <f t="shared" ref="G8:H8" si="8">G9+G10</f>
        <v>10744</v>
      </c>
      <c r="H8" s="26">
        <f t="shared" si="8"/>
        <v>2486</v>
      </c>
      <c r="I8" s="31"/>
      <c r="J8" s="27">
        <f>J9+J10</f>
        <v>6028989.6000000006</v>
      </c>
      <c r="K8" s="27">
        <f t="shared" ref="K8:N8" si="9">K9+K10</f>
        <v>13694528</v>
      </c>
      <c r="L8" s="27">
        <f t="shared" si="9"/>
        <v>4452817.5999999996</v>
      </c>
      <c r="M8" s="27">
        <f t="shared" si="9"/>
        <v>24176335.200000003</v>
      </c>
      <c r="N8" s="27">
        <f t="shared" si="9"/>
        <v>217587</v>
      </c>
      <c r="O8" s="37"/>
      <c r="P8" s="27">
        <f t="shared" ref="P8:Q8" si="10">P9+P10</f>
        <v>19934</v>
      </c>
      <c r="Q8" s="27">
        <f t="shared" si="10"/>
        <v>237521</v>
      </c>
    </row>
    <row r="9" spans="1:17" x14ac:dyDescent="0.25">
      <c r="A9" s="23"/>
      <c r="B9" s="28" t="s">
        <v>15</v>
      </c>
      <c r="C9" s="21">
        <v>52</v>
      </c>
      <c r="D9" s="21">
        <v>30703</v>
      </c>
      <c r="E9" s="21">
        <f>F9+G9+H9</f>
        <v>24224</v>
      </c>
      <c r="F9" s="29">
        <f>12903-1500</f>
        <v>11403</v>
      </c>
      <c r="G9" s="29">
        <f>11172-800</f>
        <v>10372</v>
      </c>
      <c r="H9" s="29">
        <f>3249-800</f>
        <v>2449</v>
      </c>
      <c r="I9" s="21">
        <v>2566</v>
      </c>
      <c r="J9" s="30">
        <f t="shared" ref="J9:J10" si="11">(I9*F9*0.2)</f>
        <v>5852019.6000000006</v>
      </c>
      <c r="K9" s="30">
        <f t="shared" ref="K9:K10" si="12">(I9*G9*0.5)</f>
        <v>13307276</v>
      </c>
      <c r="L9" s="30">
        <f t="shared" ref="L9:L10" si="13">(I9*H9*0.7)</f>
        <v>4398893.8</v>
      </c>
      <c r="M9" s="30">
        <f t="shared" ref="M9:M10" si="14">J9+K9+L9</f>
        <v>23558189.400000002</v>
      </c>
      <c r="N9" s="30">
        <f t="shared" ref="N9:N10" si="15">ROUND((M9*9/1000),0)</f>
        <v>212024</v>
      </c>
      <c r="O9" s="30">
        <v>621</v>
      </c>
      <c r="P9" s="30">
        <f>ROUND(D9*O9/1000,0)</f>
        <v>19067</v>
      </c>
      <c r="Q9" s="30">
        <f t="shared" ref="Q9:Q10" si="16">N9+P9</f>
        <v>231091</v>
      </c>
    </row>
    <row r="10" spans="1:17" x14ac:dyDescent="0.25">
      <c r="A10" s="23"/>
      <c r="B10" s="28" t="s">
        <v>16</v>
      </c>
      <c r="C10" s="21">
        <v>6</v>
      </c>
      <c r="D10" s="21">
        <v>1396</v>
      </c>
      <c r="E10" s="21">
        <f>F10+G10+H10</f>
        <v>834</v>
      </c>
      <c r="F10" s="29">
        <v>425</v>
      </c>
      <c r="G10" s="29">
        <v>372</v>
      </c>
      <c r="H10" s="29">
        <v>37</v>
      </c>
      <c r="I10" s="21">
        <v>2082</v>
      </c>
      <c r="J10" s="30">
        <f t="shared" si="11"/>
        <v>176970</v>
      </c>
      <c r="K10" s="30">
        <f t="shared" si="12"/>
        <v>387252</v>
      </c>
      <c r="L10" s="30">
        <f t="shared" si="13"/>
        <v>53923.799999999996</v>
      </c>
      <c r="M10" s="30">
        <f t="shared" si="14"/>
        <v>618145.80000000005</v>
      </c>
      <c r="N10" s="30">
        <f t="shared" si="15"/>
        <v>5563</v>
      </c>
      <c r="O10" s="30">
        <v>621</v>
      </c>
      <c r="P10" s="30">
        <f>ROUND(D10*O10/1000,0)</f>
        <v>867</v>
      </c>
      <c r="Q10" s="30">
        <f t="shared" si="16"/>
        <v>6430</v>
      </c>
    </row>
    <row r="11" spans="1:17" s="16" customFormat="1" x14ac:dyDescent="0.2">
      <c r="A11" s="24">
        <v>3</v>
      </c>
      <c r="B11" s="25" t="s">
        <v>18</v>
      </c>
      <c r="C11" s="31">
        <f>C12+C13</f>
        <v>20</v>
      </c>
      <c r="D11" s="31">
        <f t="shared" ref="D11:E11" si="17">D12+D13</f>
        <v>9128</v>
      </c>
      <c r="E11" s="31">
        <f t="shared" si="17"/>
        <v>5746</v>
      </c>
      <c r="F11" s="31">
        <f>F12+F13</f>
        <v>3257</v>
      </c>
      <c r="G11" s="31">
        <f t="shared" ref="G11:H11" si="18">G12+G13</f>
        <v>2056</v>
      </c>
      <c r="H11" s="31">
        <f t="shared" si="18"/>
        <v>433</v>
      </c>
      <c r="I11" s="31"/>
      <c r="J11" s="27">
        <f>J12+J13</f>
        <v>2880867.0000000005</v>
      </c>
      <c r="K11" s="27">
        <f t="shared" ref="K11:N11" si="19">K12+K13</f>
        <v>4500973.5</v>
      </c>
      <c r="L11" s="27">
        <f t="shared" si="19"/>
        <v>1293835.2</v>
      </c>
      <c r="M11" s="27">
        <f t="shared" si="19"/>
        <v>8675675.7000000011</v>
      </c>
      <c r="N11" s="27">
        <f t="shared" si="19"/>
        <v>78081</v>
      </c>
      <c r="O11" s="32"/>
      <c r="P11" s="27">
        <f t="shared" ref="P11:Q11" si="20">P12+P13</f>
        <v>5669</v>
      </c>
      <c r="Q11" s="27">
        <f t="shared" si="20"/>
        <v>83750</v>
      </c>
    </row>
    <row r="12" spans="1:17" x14ac:dyDescent="0.25">
      <c r="A12" s="23"/>
      <c r="B12" s="28" t="s">
        <v>15</v>
      </c>
      <c r="C12" s="21">
        <v>16</v>
      </c>
      <c r="D12" s="21">
        <v>8576</v>
      </c>
      <c r="E12" s="21">
        <f t="shared" ref="E12:E16" si="21">F12+G12+H12</f>
        <v>5194</v>
      </c>
      <c r="F12" s="29">
        <f>3479-500</f>
        <v>2979</v>
      </c>
      <c r="G12" s="29">
        <f>2245-400</f>
        <v>1845</v>
      </c>
      <c r="H12" s="29">
        <f>770-400</f>
        <v>370</v>
      </c>
      <c r="I12" s="21">
        <v>4641</v>
      </c>
      <c r="J12" s="30">
        <f t="shared" ref="J12:J13" si="22">(I12*F12*0.2)</f>
        <v>2765107.8000000003</v>
      </c>
      <c r="K12" s="30">
        <f t="shared" ref="K12:K13" si="23">(I12*G12*0.5)</f>
        <v>4281322.5</v>
      </c>
      <c r="L12" s="30">
        <f t="shared" ref="L12:L13" si="24">(I12*H12*0.7)</f>
        <v>1202019</v>
      </c>
      <c r="M12" s="30">
        <f t="shared" ref="M12:M13" si="25">J12+K12+L12</f>
        <v>8248449.3000000007</v>
      </c>
      <c r="N12" s="30">
        <f t="shared" ref="N12:N13" si="26">ROUND((M12*9/1000),0)</f>
        <v>74236</v>
      </c>
      <c r="O12" s="30">
        <v>621</v>
      </c>
      <c r="P12" s="30">
        <f>ROUND(D12*O12/1000,0)</f>
        <v>5326</v>
      </c>
      <c r="Q12" s="30">
        <f t="shared" ref="Q12:Q13" si="27">N12+P12</f>
        <v>79562</v>
      </c>
    </row>
    <row r="13" spans="1:17" x14ac:dyDescent="0.25">
      <c r="A13" s="23"/>
      <c r="B13" s="28" t="s">
        <v>16</v>
      </c>
      <c r="C13" s="21">
        <v>4</v>
      </c>
      <c r="D13" s="21">
        <v>552</v>
      </c>
      <c r="E13" s="21">
        <f t="shared" si="21"/>
        <v>552</v>
      </c>
      <c r="F13" s="21">
        <v>278</v>
      </c>
      <c r="G13" s="21">
        <v>211</v>
      </c>
      <c r="H13" s="29">
        <v>63</v>
      </c>
      <c r="I13" s="21">
        <v>2082</v>
      </c>
      <c r="J13" s="30">
        <f t="shared" si="22"/>
        <v>115759.20000000001</v>
      </c>
      <c r="K13" s="30">
        <f t="shared" si="23"/>
        <v>219651</v>
      </c>
      <c r="L13" s="30">
        <f t="shared" si="24"/>
        <v>91816.2</v>
      </c>
      <c r="M13" s="30">
        <f t="shared" si="25"/>
        <v>427226.4</v>
      </c>
      <c r="N13" s="30">
        <f t="shared" si="26"/>
        <v>3845</v>
      </c>
      <c r="O13" s="30">
        <v>621</v>
      </c>
      <c r="P13" s="30">
        <f>ROUND(D13*O13/1000,0)</f>
        <v>343</v>
      </c>
      <c r="Q13" s="30">
        <f t="shared" si="27"/>
        <v>4188</v>
      </c>
    </row>
    <row r="14" spans="1:17" s="16" customFormat="1" x14ac:dyDescent="0.2">
      <c r="A14" s="24">
        <v>4</v>
      </c>
      <c r="B14" s="25" t="s">
        <v>19</v>
      </c>
      <c r="C14" s="31">
        <f>C15+C16</f>
        <v>49</v>
      </c>
      <c r="D14" s="31">
        <f t="shared" ref="D14:E14" si="28">D15+D16</f>
        <v>19700</v>
      </c>
      <c r="E14" s="31">
        <f t="shared" si="28"/>
        <v>18209</v>
      </c>
      <c r="F14" s="31">
        <f>F15+F16</f>
        <v>7895</v>
      </c>
      <c r="G14" s="31">
        <f t="shared" ref="G14:H14" si="29">G15+G16</f>
        <v>7807</v>
      </c>
      <c r="H14" s="31">
        <f t="shared" si="29"/>
        <v>2507</v>
      </c>
      <c r="I14" s="31"/>
      <c r="J14" s="27">
        <f>J15+J16</f>
        <v>5206378</v>
      </c>
      <c r="K14" s="27">
        <f t="shared" ref="K14:N14" si="30">K15+K16</f>
        <v>12900196</v>
      </c>
      <c r="L14" s="27">
        <f t="shared" si="30"/>
        <v>5817602</v>
      </c>
      <c r="M14" s="27">
        <f t="shared" si="30"/>
        <v>23924176</v>
      </c>
      <c r="N14" s="27">
        <f t="shared" si="30"/>
        <v>215318</v>
      </c>
      <c r="O14" s="32"/>
      <c r="P14" s="27">
        <f t="shared" ref="P14:Q14" si="31">P15+P16</f>
        <v>12234</v>
      </c>
      <c r="Q14" s="27">
        <f t="shared" si="31"/>
        <v>227552</v>
      </c>
    </row>
    <row r="15" spans="1:17" x14ac:dyDescent="0.25">
      <c r="A15" s="23"/>
      <c r="B15" s="28" t="s">
        <v>15</v>
      </c>
      <c r="C15" s="21">
        <v>44</v>
      </c>
      <c r="D15" s="21">
        <v>19449</v>
      </c>
      <c r="E15" s="21">
        <f t="shared" si="21"/>
        <v>17958</v>
      </c>
      <c r="F15" s="29">
        <f>8000-250</f>
        <v>7750</v>
      </c>
      <c r="G15" s="29">
        <f>7892-181</f>
        <v>7711</v>
      </c>
      <c r="H15" s="29">
        <f>3197-700</f>
        <v>2497</v>
      </c>
      <c r="I15" s="21">
        <v>3320</v>
      </c>
      <c r="J15" s="30">
        <f t="shared" ref="J15:J16" si="32">(I15*F15*0.2)</f>
        <v>5146000</v>
      </c>
      <c r="K15" s="30">
        <f t="shared" ref="K15:K16" si="33">(I15*G15*0.5)</f>
        <v>12800260</v>
      </c>
      <c r="L15" s="30">
        <f t="shared" ref="L15:L16" si="34">(I15*H15*0.7)</f>
        <v>5803028</v>
      </c>
      <c r="M15" s="30">
        <f t="shared" ref="M15:M16" si="35">J15+K15+L15</f>
        <v>23749288</v>
      </c>
      <c r="N15" s="30">
        <f t="shared" ref="N15:N16" si="36">ROUND((M15*9/1000),0)</f>
        <v>213744</v>
      </c>
      <c r="O15" s="30">
        <v>621</v>
      </c>
      <c r="P15" s="30">
        <f>ROUND(D15*O15/1000,0)</f>
        <v>12078</v>
      </c>
      <c r="Q15" s="30">
        <f t="shared" ref="Q15:Q16" si="37">N15+P15</f>
        <v>225822</v>
      </c>
    </row>
    <row r="16" spans="1:17" x14ac:dyDescent="0.25">
      <c r="A16" s="23"/>
      <c r="B16" s="28" t="s">
        <v>16</v>
      </c>
      <c r="C16" s="21">
        <v>5</v>
      </c>
      <c r="D16" s="21">
        <v>251</v>
      </c>
      <c r="E16" s="21">
        <f t="shared" si="21"/>
        <v>251</v>
      </c>
      <c r="F16" s="21">
        <v>145</v>
      </c>
      <c r="G16" s="21">
        <v>96</v>
      </c>
      <c r="H16" s="29">
        <v>10</v>
      </c>
      <c r="I16" s="21">
        <v>2082</v>
      </c>
      <c r="J16" s="30">
        <f t="shared" si="32"/>
        <v>60378</v>
      </c>
      <c r="K16" s="30">
        <f t="shared" si="33"/>
        <v>99936</v>
      </c>
      <c r="L16" s="30">
        <f t="shared" si="34"/>
        <v>14573.999999999998</v>
      </c>
      <c r="M16" s="30">
        <f t="shared" si="35"/>
        <v>174888</v>
      </c>
      <c r="N16" s="30">
        <f t="shared" si="36"/>
        <v>1574</v>
      </c>
      <c r="O16" s="30">
        <v>621</v>
      </c>
      <c r="P16" s="30">
        <f>ROUND(D16*O16/1000,0)</f>
        <v>156</v>
      </c>
      <c r="Q16" s="30">
        <f t="shared" si="37"/>
        <v>1730</v>
      </c>
    </row>
    <row r="17" spans="1:17" s="16" customFormat="1" x14ac:dyDescent="0.2">
      <c r="A17" s="24">
        <v>5</v>
      </c>
      <c r="B17" s="25" t="s">
        <v>20</v>
      </c>
      <c r="C17" s="31">
        <f>C18+C19</f>
        <v>18</v>
      </c>
      <c r="D17" s="31">
        <f t="shared" ref="D17:E17" si="38">D18+D19</f>
        <v>3794</v>
      </c>
      <c r="E17" s="31">
        <f t="shared" si="38"/>
        <v>3463</v>
      </c>
      <c r="F17" s="31">
        <f>F18+F19</f>
        <v>1492</v>
      </c>
      <c r="G17" s="31">
        <f t="shared" ref="G17:H17" si="39">G18+G19</f>
        <v>1618</v>
      </c>
      <c r="H17" s="31">
        <f t="shared" si="39"/>
        <v>353</v>
      </c>
      <c r="I17" s="31"/>
      <c r="J17" s="32">
        <f t="shared" ref="J17:N17" si="40">J18+J19</f>
        <v>1081800</v>
      </c>
      <c r="K17" s="32">
        <f t="shared" si="40"/>
        <v>2985210</v>
      </c>
      <c r="L17" s="32">
        <f t="shared" si="40"/>
        <v>911799</v>
      </c>
      <c r="M17" s="32">
        <f t="shared" si="40"/>
        <v>4978809</v>
      </c>
      <c r="N17" s="32">
        <f t="shared" si="40"/>
        <v>44809</v>
      </c>
      <c r="O17" s="32"/>
      <c r="P17" s="32">
        <f t="shared" ref="P17:Q17" si="41">P18+P19</f>
        <v>2356</v>
      </c>
      <c r="Q17" s="32">
        <f t="shared" si="41"/>
        <v>47165</v>
      </c>
    </row>
    <row r="18" spans="1:17" x14ac:dyDescent="0.25">
      <c r="A18" s="23"/>
      <c r="B18" s="28" t="s">
        <v>15</v>
      </c>
      <c r="C18" s="21">
        <v>17</v>
      </c>
      <c r="D18" s="21">
        <v>3734</v>
      </c>
      <c r="E18" s="21">
        <f t="shared" ref="E18:E19" si="42">F18+G18+H18</f>
        <v>3403</v>
      </c>
      <c r="F18" s="29">
        <v>1432</v>
      </c>
      <c r="G18" s="29">
        <v>1618</v>
      </c>
      <c r="H18" s="29">
        <f>653-300</f>
        <v>353</v>
      </c>
      <c r="I18" s="21">
        <v>3690</v>
      </c>
      <c r="J18" s="30">
        <f t="shared" ref="J18:J19" si="43">(I18*F18*0.2)</f>
        <v>1056816</v>
      </c>
      <c r="K18" s="30">
        <f t="shared" ref="K18:K19" si="44">(I18*G18*0.5)</f>
        <v>2985210</v>
      </c>
      <c r="L18" s="30">
        <f t="shared" ref="L18:L19" si="45">(I18*H18*0.7)</f>
        <v>911799</v>
      </c>
      <c r="M18" s="30">
        <f t="shared" ref="M18:M19" si="46">J18+K18+L18</f>
        <v>4953825</v>
      </c>
      <c r="N18" s="30">
        <f t="shared" ref="N18:N19" si="47">ROUND((M18*9/1000),0)</f>
        <v>44584</v>
      </c>
      <c r="O18" s="30">
        <v>621</v>
      </c>
      <c r="P18" s="30">
        <f>ROUND(D18*O18/1000,0)</f>
        <v>2319</v>
      </c>
      <c r="Q18" s="30">
        <f t="shared" ref="Q18:Q19" si="48">N18+P18</f>
        <v>46903</v>
      </c>
    </row>
    <row r="19" spans="1:17" x14ac:dyDescent="0.25">
      <c r="A19" s="23"/>
      <c r="B19" s="28" t="s">
        <v>16</v>
      </c>
      <c r="C19" s="21">
        <v>1</v>
      </c>
      <c r="D19" s="21">
        <v>60</v>
      </c>
      <c r="E19" s="21">
        <f t="shared" si="42"/>
        <v>60</v>
      </c>
      <c r="F19" s="21">
        <v>60</v>
      </c>
      <c r="G19" s="21">
        <v>0</v>
      </c>
      <c r="H19" s="29">
        <v>0</v>
      </c>
      <c r="I19" s="21">
        <v>2082</v>
      </c>
      <c r="J19" s="30">
        <f t="shared" si="43"/>
        <v>24984</v>
      </c>
      <c r="K19" s="30">
        <f t="shared" si="44"/>
        <v>0</v>
      </c>
      <c r="L19" s="30">
        <f t="shared" si="45"/>
        <v>0</v>
      </c>
      <c r="M19" s="30">
        <f t="shared" si="46"/>
        <v>24984</v>
      </c>
      <c r="N19" s="30">
        <f t="shared" si="47"/>
        <v>225</v>
      </c>
      <c r="O19" s="30">
        <v>621</v>
      </c>
      <c r="P19" s="30">
        <f>ROUND(D19*O19/1000,0)</f>
        <v>37</v>
      </c>
      <c r="Q19" s="30">
        <f t="shared" si="48"/>
        <v>262</v>
      </c>
    </row>
    <row r="20" spans="1:17" s="16" customFormat="1" x14ac:dyDescent="0.2">
      <c r="A20" s="24">
        <v>6</v>
      </c>
      <c r="B20" s="25" t="s">
        <v>21</v>
      </c>
      <c r="C20" s="31">
        <f>C21+C22</f>
        <v>8</v>
      </c>
      <c r="D20" s="31">
        <f t="shared" ref="D20:E20" si="49">D21+D22</f>
        <v>2744</v>
      </c>
      <c r="E20" s="31">
        <f t="shared" si="49"/>
        <v>2499</v>
      </c>
      <c r="F20" s="31">
        <f>F21+F22</f>
        <v>1057</v>
      </c>
      <c r="G20" s="31">
        <f t="shared" ref="G20:H20" si="50">G21+G22</f>
        <v>1255</v>
      </c>
      <c r="H20" s="31">
        <f t="shared" si="50"/>
        <v>187</v>
      </c>
      <c r="I20" s="31"/>
      <c r="J20" s="27">
        <f>J21+J22</f>
        <v>820232</v>
      </c>
      <c r="K20" s="27">
        <f t="shared" ref="K20:N20" si="51">K21+K22</f>
        <v>2434700</v>
      </c>
      <c r="L20" s="27">
        <f t="shared" si="51"/>
        <v>507891.99999999994</v>
      </c>
      <c r="M20" s="27">
        <f t="shared" si="51"/>
        <v>3762824</v>
      </c>
      <c r="N20" s="27">
        <f t="shared" si="51"/>
        <v>33865</v>
      </c>
      <c r="O20" s="32"/>
      <c r="P20" s="27">
        <f t="shared" ref="P20:Q20" si="52">P21+P22</f>
        <v>1704</v>
      </c>
      <c r="Q20" s="27">
        <f t="shared" si="52"/>
        <v>35569</v>
      </c>
    </row>
    <row r="21" spans="1:17" x14ac:dyDescent="0.25">
      <c r="A21" s="23"/>
      <c r="B21" s="28" t="s">
        <v>15</v>
      </c>
      <c r="C21" s="21">
        <v>8</v>
      </c>
      <c r="D21" s="21">
        <v>2744</v>
      </c>
      <c r="E21" s="21">
        <f>F21+G21+H21</f>
        <v>2499</v>
      </c>
      <c r="F21" s="29">
        <v>1057</v>
      </c>
      <c r="G21" s="29">
        <v>1255</v>
      </c>
      <c r="H21" s="29">
        <f>387-200</f>
        <v>187</v>
      </c>
      <c r="I21" s="21">
        <v>3880</v>
      </c>
      <c r="J21" s="30">
        <f>(I21*F21*0.2)</f>
        <v>820232</v>
      </c>
      <c r="K21" s="30">
        <f>(I21*G21*0.5)</f>
        <v>2434700</v>
      </c>
      <c r="L21" s="30">
        <f>(I21*H21*0.7)</f>
        <v>507891.99999999994</v>
      </c>
      <c r="M21" s="30">
        <f>J21+K21+L21</f>
        <v>3762824</v>
      </c>
      <c r="N21" s="30">
        <f>ROUND((M21*9/1000),0)</f>
        <v>33865</v>
      </c>
      <c r="O21" s="30">
        <v>621</v>
      </c>
      <c r="P21" s="30">
        <f>ROUND(D21*O21/1000,0)</f>
        <v>1704</v>
      </c>
      <c r="Q21" s="30">
        <f>N21+P21</f>
        <v>35569</v>
      </c>
    </row>
    <row r="22" spans="1:17" x14ac:dyDescent="0.25">
      <c r="A22" s="23"/>
      <c r="B22" s="28" t="s">
        <v>16</v>
      </c>
      <c r="C22" s="21"/>
      <c r="D22" s="21"/>
      <c r="E22" s="21"/>
      <c r="F22" s="21"/>
      <c r="G22" s="21"/>
      <c r="H22" s="29"/>
      <c r="I22" s="21"/>
      <c r="J22" s="30"/>
      <c r="K22" s="30"/>
      <c r="L22" s="30"/>
      <c r="M22" s="30"/>
      <c r="N22" s="30"/>
      <c r="O22" s="30"/>
      <c r="P22" s="30"/>
      <c r="Q22" s="30"/>
    </row>
    <row r="23" spans="1:17" s="18" customFormat="1" x14ac:dyDescent="0.2">
      <c r="A23" s="33">
        <v>7</v>
      </c>
      <c r="B23" s="25" t="s">
        <v>22</v>
      </c>
      <c r="C23" s="31">
        <f>C24+C25</f>
        <v>8</v>
      </c>
      <c r="D23" s="31">
        <f t="shared" ref="D23:H23" si="53">D24+D25</f>
        <v>4295</v>
      </c>
      <c r="E23" s="31">
        <f t="shared" si="53"/>
        <v>3975</v>
      </c>
      <c r="F23" s="31">
        <f t="shared" si="53"/>
        <v>1760</v>
      </c>
      <c r="G23" s="31">
        <f t="shared" si="53"/>
        <v>1909</v>
      </c>
      <c r="H23" s="31">
        <f t="shared" si="53"/>
        <v>306</v>
      </c>
      <c r="I23" s="31"/>
      <c r="J23" s="32">
        <f t="shared" ref="J23:N23" si="54">J24+J25</f>
        <v>732172</v>
      </c>
      <c r="K23" s="32">
        <f t="shared" si="54"/>
        <v>1985380</v>
      </c>
      <c r="L23" s="32">
        <f t="shared" si="54"/>
        <v>445550</v>
      </c>
      <c r="M23" s="32">
        <f t="shared" si="54"/>
        <v>3163102</v>
      </c>
      <c r="N23" s="32">
        <f t="shared" si="54"/>
        <v>28468</v>
      </c>
      <c r="O23" s="32"/>
      <c r="P23" s="32">
        <f t="shared" ref="P23:Q23" si="55">P24+P25</f>
        <v>2667</v>
      </c>
      <c r="Q23" s="32">
        <f t="shared" si="55"/>
        <v>31135</v>
      </c>
    </row>
    <row r="24" spans="1:17" s="19" customFormat="1" x14ac:dyDescent="0.25">
      <c r="A24" s="34"/>
      <c r="B24" s="28" t="s">
        <v>15</v>
      </c>
      <c r="C24" s="21">
        <v>7</v>
      </c>
      <c r="D24" s="21">
        <v>4225</v>
      </c>
      <c r="E24" s="21">
        <f>F24+G24+H24</f>
        <v>3915</v>
      </c>
      <c r="F24" s="35">
        <v>1730</v>
      </c>
      <c r="G24" s="35">
        <v>1889</v>
      </c>
      <c r="H24" s="35">
        <f>546-250</f>
        <v>296</v>
      </c>
      <c r="I24" s="21">
        <v>2080</v>
      </c>
      <c r="J24" s="30">
        <f>(I24*F24*0.2)</f>
        <v>719680</v>
      </c>
      <c r="K24" s="30">
        <f>(I24*G24*0.5)</f>
        <v>1964560</v>
      </c>
      <c r="L24" s="30">
        <f>(I24*H24*0.7)</f>
        <v>430976</v>
      </c>
      <c r="M24" s="30">
        <f t="shared" ref="M24:M25" si="56">J24+K24+L24</f>
        <v>3115216</v>
      </c>
      <c r="N24" s="30">
        <f t="shared" ref="N24:N25" si="57">ROUND((M24*9/1000),0)</f>
        <v>28037</v>
      </c>
      <c r="O24" s="30">
        <v>621</v>
      </c>
      <c r="P24" s="30">
        <f>ROUND(D24*O24/1000,0)</f>
        <v>2624</v>
      </c>
      <c r="Q24" s="30">
        <f t="shared" ref="Q24:Q25" si="58">N24+P24</f>
        <v>30661</v>
      </c>
    </row>
    <row r="25" spans="1:17" s="19" customFormat="1" x14ac:dyDescent="0.25">
      <c r="A25" s="34"/>
      <c r="B25" s="28" t="s">
        <v>16</v>
      </c>
      <c r="C25" s="21">
        <v>1</v>
      </c>
      <c r="D25" s="21">
        <v>70</v>
      </c>
      <c r="E25" s="21">
        <f>F25+G25+H25</f>
        <v>60</v>
      </c>
      <c r="F25" s="21">
        <v>30</v>
      </c>
      <c r="G25" s="21">
        <v>20</v>
      </c>
      <c r="H25" s="29">
        <v>10</v>
      </c>
      <c r="I25" s="21">
        <v>2082</v>
      </c>
      <c r="J25" s="30">
        <f>(I25*F25*0.2)</f>
        <v>12492</v>
      </c>
      <c r="K25" s="30">
        <f>(I25*G25*0.5)</f>
        <v>20820</v>
      </c>
      <c r="L25" s="30">
        <f>(I25*H25*0.7)</f>
        <v>14573.999999999998</v>
      </c>
      <c r="M25" s="30">
        <f t="shared" si="56"/>
        <v>47886</v>
      </c>
      <c r="N25" s="30">
        <f t="shared" si="57"/>
        <v>431</v>
      </c>
      <c r="O25" s="30">
        <v>621</v>
      </c>
      <c r="P25" s="30">
        <f>ROUND(D25*O25/1000,0)</f>
        <v>43</v>
      </c>
      <c r="Q25" s="30">
        <f t="shared" si="58"/>
        <v>474</v>
      </c>
    </row>
    <row r="26" spans="1:17" s="16" customFormat="1" x14ac:dyDescent="0.2">
      <c r="A26" s="24">
        <v>8</v>
      </c>
      <c r="B26" s="25" t="s">
        <v>23</v>
      </c>
      <c r="C26" s="31">
        <f>C27+C28</f>
        <v>10</v>
      </c>
      <c r="D26" s="31">
        <f t="shared" ref="D26:E26" si="59">D27+D28</f>
        <v>2933</v>
      </c>
      <c r="E26" s="31">
        <f t="shared" si="59"/>
        <v>2609</v>
      </c>
      <c r="F26" s="31">
        <f>F27+F28</f>
        <v>1123</v>
      </c>
      <c r="G26" s="31">
        <f t="shared" ref="G26:H26" si="60">G27+G28</f>
        <v>1176</v>
      </c>
      <c r="H26" s="31">
        <f t="shared" si="60"/>
        <v>310</v>
      </c>
      <c r="I26" s="31"/>
      <c r="J26" s="27">
        <f>J27+J28</f>
        <v>752410</v>
      </c>
      <c r="K26" s="27">
        <f t="shared" ref="K26:N26" si="61">K27+K28</f>
        <v>1969800</v>
      </c>
      <c r="L26" s="27">
        <f t="shared" si="61"/>
        <v>726950</v>
      </c>
      <c r="M26" s="27">
        <f t="shared" si="61"/>
        <v>3449160</v>
      </c>
      <c r="N26" s="27">
        <f t="shared" si="61"/>
        <v>31042</v>
      </c>
      <c r="O26" s="37"/>
      <c r="P26" s="27">
        <f t="shared" ref="P26:Q26" si="62">P27+P28</f>
        <v>1821</v>
      </c>
      <c r="Q26" s="27">
        <f t="shared" si="62"/>
        <v>32863</v>
      </c>
    </row>
    <row r="27" spans="1:17" x14ac:dyDescent="0.25">
      <c r="A27" s="23"/>
      <c r="B27" s="28" t="s">
        <v>15</v>
      </c>
      <c r="C27" s="21">
        <v>10</v>
      </c>
      <c r="D27" s="21">
        <v>2933</v>
      </c>
      <c r="E27" s="21">
        <f>F27+G27+H27</f>
        <v>2609</v>
      </c>
      <c r="F27" s="29">
        <v>1123</v>
      </c>
      <c r="G27" s="29">
        <v>1176</v>
      </c>
      <c r="H27" s="29">
        <f>560-250</f>
        <v>310</v>
      </c>
      <c r="I27" s="21">
        <v>3350</v>
      </c>
      <c r="J27" s="30">
        <f>(I27*F27*0.2)</f>
        <v>752410</v>
      </c>
      <c r="K27" s="30">
        <f>(I27*G27*0.5)</f>
        <v>1969800</v>
      </c>
      <c r="L27" s="30">
        <f>(I27*H27*0.7)</f>
        <v>726950</v>
      </c>
      <c r="M27" s="30">
        <f>J27+K27+L27</f>
        <v>3449160</v>
      </c>
      <c r="N27" s="30">
        <f>ROUND((M27*9/1000),0)</f>
        <v>31042</v>
      </c>
      <c r="O27" s="30">
        <v>621</v>
      </c>
      <c r="P27" s="30">
        <f>ROUND(D27*O27/1000,0)</f>
        <v>1821</v>
      </c>
      <c r="Q27" s="30">
        <f>N27+P27</f>
        <v>32863</v>
      </c>
    </row>
    <row r="28" spans="1:17" x14ac:dyDescent="0.25">
      <c r="A28" s="23"/>
      <c r="B28" s="28" t="s">
        <v>16</v>
      </c>
      <c r="C28" s="21"/>
      <c r="D28" s="21"/>
      <c r="E28" s="21"/>
      <c r="F28" s="21"/>
      <c r="G28" s="21"/>
      <c r="H28" s="29"/>
      <c r="I28" s="21"/>
      <c r="J28" s="30"/>
      <c r="K28" s="30"/>
      <c r="L28" s="30"/>
      <c r="M28" s="30"/>
      <c r="N28" s="30"/>
      <c r="O28" s="30"/>
      <c r="P28" s="30"/>
      <c r="Q28" s="30"/>
    </row>
    <row r="29" spans="1:17" s="16" customFormat="1" x14ac:dyDescent="0.2">
      <c r="A29" s="24">
        <v>9</v>
      </c>
      <c r="B29" s="25" t="s">
        <v>24</v>
      </c>
      <c r="C29" s="31">
        <f>C30+C31</f>
        <v>10</v>
      </c>
      <c r="D29" s="31">
        <f t="shared" ref="D29:E29" si="63">D30+D31</f>
        <v>2478</v>
      </c>
      <c r="E29" s="31">
        <f t="shared" si="63"/>
        <v>2310</v>
      </c>
      <c r="F29" s="31">
        <f>F30+F31</f>
        <v>903</v>
      </c>
      <c r="G29" s="31">
        <f t="shared" ref="G29:H29" si="64">G30+G31</f>
        <v>1147</v>
      </c>
      <c r="H29" s="31">
        <f t="shared" si="64"/>
        <v>260</v>
      </c>
      <c r="I29" s="31"/>
      <c r="J29" s="32">
        <f t="shared" ref="J29:N29" si="65">J30+J31</f>
        <v>559860</v>
      </c>
      <c r="K29" s="32">
        <f t="shared" si="65"/>
        <v>1777850</v>
      </c>
      <c r="L29" s="32">
        <f t="shared" si="65"/>
        <v>564200</v>
      </c>
      <c r="M29" s="32">
        <f t="shared" si="65"/>
        <v>2901910</v>
      </c>
      <c r="N29" s="32">
        <f t="shared" si="65"/>
        <v>26117</v>
      </c>
      <c r="O29" s="31"/>
      <c r="P29" s="32">
        <f t="shared" ref="P29:Q29" si="66">P30+P31</f>
        <v>1539</v>
      </c>
      <c r="Q29" s="32">
        <f t="shared" si="66"/>
        <v>27656</v>
      </c>
    </row>
    <row r="30" spans="1:17" x14ac:dyDescent="0.25">
      <c r="A30" s="23"/>
      <c r="B30" s="28" t="s">
        <v>15</v>
      </c>
      <c r="C30" s="21">
        <v>10</v>
      </c>
      <c r="D30" s="21">
        <v>2478</v>
      </c>
      <c r="E30" s="21">
        <f>F30+G30+H30</f>
        <v>2310</v>
      </c>
      <c r="F30" s="29">
        <v>903</v>
      </c>
      <c r="G30" s="29">
        <v>1147</v>
      </c>
      <c r="H30" s="29">
        <f>410-150</f>
        <v>260</v>
      </c>
      <c r="I30" s="21">
        <v>3100</v>
      </c>
      <c r="J30" s="30">
        <f>(I30*F30*0.2)</f>
        <v>559860</v>
      </c>
      <c r="K30" s="30">
        <f>(I30*G30*0.5)</f>
        <v>1777850</v>
      </c>
      <c r="L30" s="30">
        <f>(I30*H30*0.7)</f>
        <v>564200</v>
      </c>
      <c r="M30" s="30">
        <f>J30+K30+L30</f>
        <v>2901910</v>
      </c>
      <c r="N30" s="30">
        <f>ROUND((M30*9/1000),0)</f>
        <v>26117</v>
      </c>
      <c r="O30" s="30">
        <v>621</v>
      </c>
      <c r="P30" s="30">
        <f>ROUND(D30*O30/1000,0)</f>
        <v>1539</v>
      </c>
      <c r="Q30" s="30">
        <f>N30+P30</f>
        <v>27656</v>
      </c>
    </row>
    <row r="31" spans="1:17" x14ac:dyDescent="0.25">
      <c r="A31" s="23"/>
      <c r="B31" s="28" t="s">
        <v>16</v>
      </c>
      <c r="C31" s="21"/>
      <c r="D31" s="21"/>
      <c r="E31" s="21"/>
      <c r="F31" s="21"/>
      <c r="G31" s="21"/>
      <c r="H31" s="29"/>
      <c r="I31" s="21"/>
      <c r="J31" s="30"/>
      <c r="K31" s="30"/>
      <c r="L31" s="30"/>
      <c r="M31" s="30"/>
      <c r="N31" s="30"/>
      <c r="O31" s="30"/>
      <c r="P31" s="30">
        <f>ROUND(D31*O31/1000,0)</f>
        <v>0</v>
      </c>
      <c r="Q31" s="30"/>
    </row>
    <row r="32" spans="1:17" s="16" customFormat="1" x14ac:dyDescent="0.2">
      <c r="A32" s="24">
        <v>10</v>
      </c>
      <c r="B32" s="25" t="s">
        <v>25</v>
      </c>
      <c r="C32" s="31">
        <f>C33+C34</f>
        <v>14</v>
      </c>
      <c r="D32" s="31">
        <f t="shared" ref="D32:E32" si="67">D33+D34</f>
        <v>4376</v>
      </c>
      <c r="E32" s="31">
        <f t="shared" si="67"/>
        <v>4066</v>
      </c>
      <c r="F32" s="31">
        <f>F33+F34</f>
        <v>3239</v>
      </c>
      <c r="G32" s="31">
        <f t="shared" ref="G32:H32" si="68">G33+G34</f>
        <v>752</v>
      </c>
      <c r="H32" s="31">
        <f t="shared" si="68"/>
        <v>75</v>
      </c>
      <c r="I32" s="31"/>
      <c r="J32" s="27">
        <f>J33+J34</f>
        <v>2564198.7999999998</v>
      </c>
      <c r="K32" s="27">
        <f t="shared" ref="K32:N32" si="69">K33+K34</f>
        <v>1475602</v>
      </c>
      <c r="L32" s="27">
        <f t="shared" si="69"/>
        <v>198321.2</v>
      </c>
      <c r="M32" s="27">
        <f t="shared" si="69"/>
        <v>4238122</v>
      </c>
      <c r="N32" s="27">
        <f t="shared" si="69"/>
        <v>38143</v>
      </c>
      <c r="O32" s="32"/>
      <c r="P32" s="27">
        <f t="shared" ref="P32:Q32" si="70">P33+P34</f>
        <v>2718</v>
      </c>
      <c r="Q32" s="27">
        <f t="shared" si="70"/>
        <v>40861</v>
      </c>
    </row>
    <row r="33" spans="1:17" x14ac:dyDescent="0.25">
      <c r="A33" s="23"/>
      <c r="B33" s="28" t="s">
        <v>15</v>
      </c>
      <c r="C33" s="21">
        <v>13</v>
      </c>
      <c r="D33" s="21">
        <v>4236</v>
      </c>
      <c r="E33" s="21">
        <f>F33+G33+H33</f>
        <v>3999</v>
      </c>
      <c r="F33" s="29">
        <v>3202</v>
      </c>
      <c r="G33" s="29">
        <v>730</v>
      </c>
      <c r="H33" s="29">
        <f>92-25</f>
        <v>67</v>
      </c>
      <c r="I33" s="21">
        <v>3980</v>
      </c>
      <c r="J33" s="30">
        <f>(I33*F33*0.2)</f>
        <v>2548792</v>
      </c>
      <c r="K33" s="30">
        <f>(I33*G33*0.5)</f>
        <v>1452700</v>
      </c>
      <c r="L33" s="30">
        <f>(I33*H33*0.7)</f>
        <v>186662</v>
      </c>
      <c r="M33" s="30">
        <f>J33+K33+L33</f>
        <v>4188154</v>
      </c>
      <c r="N33" s="30">
        <f>ROUND((M33*9/1000),0)</f>
        <v>37693</v>
      </c>
      <c r="O33" s="30">
        <v>621</v>
      </c>
      <c r="P33" s="30">
        <f>ROUND(D33*O33/1000,0)</f>
        <v>2631</v>
      </c>
      <c r="Q33" s="30">
        <f>N33+P33</f>
        <v>40324</v>
      </c>
    </row>
    <row r="34" spans="1:17" x14ac:dyDescent="0.25">
      <c r="A34" s="23"/>
      <c r="B34" s="28" t="s">
        <v>16</v>
      </c>
      <c r="C34" s="21">
        <v>1</v>
      </c>
      <c r="D34" s="21">
        <v>140</v>
      </c>
      <c r="E34" s="21">
        <f>F34+G34+H34</f>
        <v>67</v>
      </c>
      <c r="F34" s="21">
        <v>37</v>
      </c>
      <c r="G34" s="21">
        <v>22</v>
      </c>
      <c r="H34" s="29">
        <v>8</v>
      </c>
      <c r="I34" s="21">
        <v>2082</v>
      </c>
      <c r="J34" s="30">
        <f>(I34*F34*0.2)</f>
        <v>15406.800000000001</v>
      </c>
      <c r="K34" s="30">
        <f>(I34*G34*0.5)</f>
        <v>22902</v>
      </c>
      <c r="L34" s="30">
        <f>(I34*H34*0.7)</f>
        <v>11659.199999999999</v>
      </c>
      <c r="M34" s="30">
        <f>J34+K34+L34</f>
        <v>49968</v>
      </c>
      <c r="N34" s="30">
        <f>ROUND((M34*9/1000),0)</f>
        <v>450</v>
      </c>
      <c r="O34" s="30">
        <v>621</v>
      </c>
      <c r="P34" s="30">
        <f>ROUND(D34*O34/1000,0)</f>
        <v>87</v>
      </c>
      <c r="Q34" s="30">
        <f>N34+P34</f>
        <v>537</v>
      </c>
    </row>
    <row r="35" spans="1:17" s="16" customFormat="1" x14ac:dyDescent="0.2">
      <c r="A35" s="24">
        <v>11</v>
      </c>
      <c r="B35" s="25" t="s">
        <v>26</v>
      </c>
      <c r="C35" s="31">
        <f>C36+C37</f>
        <v>8</v>
      </c>
      <c r="D35" s="31">
        <f t="shared" ref="D35:E35" si="71">D36+D37</f>
        <v>2870</v>
      </c>
      <c r="E35" s="31">
        <f t="shared" si="71"/>
        <v>2636</v>
      </c>
      <c r="F35" s="31">
        <f>F36+F37</f>
        <v>1083</v>
      </c>
      <c r="G35" s="31">
        <f t="shared" ref="G35:H35" si="72">G36+G37</f>
        <v>1170</v>
      </c>
      <c r="H35" s="31">
        <f t="shared" si="72"/>
        <v>383</v>
      </c>
      <c r="I35" s="31"/>
      <c r="J35" s="27">
        <f>J36+J37</f>
        <v>518757</v>
      </c>
      <c r="K35" s="27">
        <f t="shared" ref="K35:N35" si="73">K36+K37</f>
        <v>1401075</v>
      </c>
      <c r="L35" s="27">
        <f t="shared" si="73"/>
        <v>642099.5</v>
      </c>
      <c r="M35" s="27">
        <f t="shared" si="73"/>
        <v>2561931.5</v>
      </c>
      <c r="N35" s="27">
        <f t="shared" si="73"/>
        <v>23057</v>
      </c>
      <c r="O35" s="43"/>
      <c r="P35" s="27">
        <f t="shared" ref="P35:Q35" si="74">P36+P37</f>
        <v>1782</v>
      </c>
      <c r="Q35" s="27">
        <f t="shared" si="74"/>
        <v>24839</v>
      </c>
    </row>
    <row r="36" spans="1:17" x14ac:dyDescent="0.25">
      <c r="A36" s="23"/>
      <c r="B36" s="28" t="s">
        <v>15</v>
      </c>
      <c r="C36" s="36">
        <v>8</v>
      </c>
      <c r="D36" s="21">
        <v>2870</v>
      </c>
      <c r="E36" s="21">
        <f>F36+G36+H36</f>
        <v>2636</v>
      </c>
      <c r="F36" s="29">
        <v>1083</v>
      </c>
      <c r="G36" s="29">
        <v>1170</v>
      </c>
      <c r="H36" s="29">
        <f>583-200</f>
        <v>383</v>
      </c>
      <c r="I36" s="21">
        <v>2395</v>
      </c>
      <c r="J36" s="30">
        <f>(I36*F36*0.2)</f>
        <v>518757</v>
      </c>
      <c r="K36" s="30">
        <f>(I36*G36*0.5)</f>
        <v>1401075</v>
      </c>
      <c r="L36" s="30">
        <f>(I36*H36*0.7)</f>
        <v>642099.5</v>
      </c>
      <c r="M36" s="30">
        <f>J36+K36+L36</f>
        <v>2561931.5</v>
      </c>
      <c r="N36" s="30">
        <f>ROUND((M36*9/1000),0)</f>
        <v>23057</v>
      </c>
      <c r="O36" s="30">
        <v>621</v>
      </c>
      <c r="P36" s="30">
        <f>ROUND(D36*O36/1000,0)</f>
        <v>1782</v>
      </c>
      <c r="Q36" s="30">
        <f>N36+P36</f>
        <v>24839</v>
      </c>
    </row>
    <row r="37" spans="1:17" x14ac:dyDescent="0.25">
      <c r="A37" s="23"/>
      <c r="B37" s="28" t="s">
        <v>16</v>
      </c>
      <c r="C37" s="21"/>
      <c r="D37" s="21"/>
      <c r="E37" s="21"/>
      <c r="F37" s="21"/>
      <c r="G37" s="21"/>
      <c r="H37" s="29"/>
      <c r="I37" s="21"/>
      <c r="J37" s="30"/>
      <c r="K37" s="30"/>
      <c r="L37" s="30"/>
      <c r="M37" s="30"/>
      <c r="N37" s="30"/>
      <c r="O37" s="30"/>
      <c r="P37" s="30"/>
      <c r="Q37" s="30"/>
    </row>
    <row r="38" spans="1:17" s="16" customFormat="1" x14ac:dyDescent="0.2">
      <c r="A38" s="24">
        <v>12</v>
      </c>
      <c r="B38" s="25" t="s">
        <v>27</v>
      </c>
      <c r="C38" s="31">
        <f>C39+C40</f>
        <v>5</v>
      </c>
      <c r="D38" s="31">
        <f t="shared" ref="D38:H38" si="75">D39+D40</f>
        <v>1199</v>
      </c>
      <c r="E38" s="31">
        <f t="shared" si="75"/>
        <v>1035</v>
      </c>
      <c r="F38" s="31">
        <f t="shared" si="75"/>
        <v>496</v>
      </c>
      <c r="G38" s="31">
        <f t="shared" si="75"/>
        <v>473</v>
      </c>
      <c r="H38" s="31">
        <f t="shared" si="75"/>
        <v>66</v>
      </c>
      <c r="I38" s="31"/>
      <c r="J38" s="27">
        <f>J39+J40</f>
        <v>416640</v>
      </c>
      <c r="K38" s="27">
        <f t="shared" ref="K38:N38" si="76">K39+K40</f>
        <v>993300</v>
      </c>
      <c r="L38" s="27">
        <f t="shared" si="76"/>
        <v>194040</v>
      </c>
      <c r="M38" s="27">
        <f t="shared" si="76"/>
        <v>1603980</v>
      </c>
      <c r="N38" s="27">
        <f t="shared" si="76"/>
        <v>14436</v>
      </c>
      <c r="O38" s="43"/>
      <c r="P38" s="27">
        <f t="shared" ref="P38:Q38" si="77">P39+P40</f>
        <v>745</v>
      </c>
      <c r="Q38" s="27">
        <f t="shared" si="77"/>
        <v>15181</v>
      </c>
    </row>
    <row r="39" spans="1:17" x14ac:dyDescent="0.25">
      <c r="A39" s="23"/>
      <c r="B39" s="28" t="s">
        <v>15</v>
      </c>
      <c r="C39" s="21">
        <v>5</v>
      </c>
      <c r="D39" s="21">
        <v>1199</v>
      </c>
      <c r="E39" s="21">
        <f>F39+G39+H39</f>
        <v>1035</v>
      </c>
      <c r="F39" s="21">
        <v>496</v>
      </c>
      <c r="G39" s="21">
        <v>473</v>
      </c>
      <c r="H39" s="21">
        <f>216-150</f>
        <v>66</v>
      </c>
      <c r="I39" s="21">
        <v>4200</v>
      </c>
      <c r="J39" s="30">
        <f>(I39*F39*0.2)</f>
        <v>416640</v>
      </c>
      <c r="K39" s="30">
        <f>(I39*G39*0.5)</f>
        <v>993300</v>
      </c>
      <c r="L39" s="30">
        <f>(I39*H39*0.7)</f>
        <v>194040</v>
      </c>
      <c r="M39" s="30">
        <f>J39+K39+L39</f>
        <v>1603980</v>
      </c>
      <c r="N39" s="30">
        <f>ROUND((M39*9/1000),0)</f>
        <v>14436</v>
      </c>
      <c r="O39" s="30">
        <v>621</v>
      </c>
      <c r="P39" s="30">
        <f>ROUND(D39*O39/1000,0)</f>
        <v>745</v>
      </c>
      <c r="Q39" s="30">
        <f>N39+P39</f>
        <v>15181</v>
      </c>
    </row>
    <row r="40" spans="1:17" x14ac:dyDescent="0.25">
      <c r="A40" s="23"/>
      <c r="B40" s="28" t="s">
        <v>16</v>
      </c>
      <c r="C40" s="21"/>
      <c r="D40" s="21"/>
      <c r="E40" s="21"/>
      <c r="F40" s="21"/>
      <c r="G40" s="21"/>
      <c r="H40" s="29"/>
      <c r="I40" s="21"/>
      <c r="J40" s="30"/>
      <c r="K40" s="30"/>
      <c r="L40" s="30"/>
      <c r="M40" s="30"/>
      <c r="N40" s="30"/>
      <c r="O40" s="30"/>
      <c r="P40" s="30"/>
      <c r="Q40" s="30"/>
    </row>
    <row r="41" spans="1:17" s="16" customFormat="1" x14ac:dyDescent="0.2">
      <c r="A41" s="24">
        <v>13</v>
      </c>
      <c r="B41" s="25" t="s">
        <v>28</v>
      </c>
      <c r="C41" s="31">
        <f>C42+C43</f>
        <v>10</v>
      </c>
      <c r="D41" s="31">
        <f t="shared" ref="D41:H41" si="78">D42+D43</f>
        <v>2782</v>
      </c>
      <c r="E41" s="31">
        <f t="shared" si="78"/>
        <v>2530</v>
      </c>
      <c r="F41" s="31">
        <f t="shared" si="78"/>
        <v>1179</v>
      </c>
      <c r="G41" s="31">
        <f t="shared" si="78"/>
        <v>1153</v>
      </c>
      <c r="H41" s="31">
        <f t="shared" si="78"/>
        <v>198</v>
      </c>
      <c r="I41" s="31"/>
      <c r="J41" s="27">
        <f>J42+J43</f>
        <v>639068.4</v>
      </c>
      <c r="K41" s="27">
        <f t="shared" ref="K41:N41" si="79">K42+K43</f>
        <v>1562181</v>
      </c>
      <c r="L41" s="27">
        <f t="shared" si="79"/>
        <v>373842</v>
      </c>
      <c r="M41" s="27">
        <f t="shared" si="79"/>
        <v>2575091.4</v>
      </c>
      <c r="N41" s="27">
        <f t="shared" si="79"/>
        <v>23175</v>
      </c>
      <c r="O41" s="32"/>
      <c r="P41" s="27">
        <f t="shared" ref="P41:Q41" si="80">P42+P43</f>
        <v>1727</v>
      </c>
      <c r="Q41" s="27">
        <f t="shared" si="80"/>
        <v>24902</v>
      </c>
    </row>
    <row r="42" spans="1:17" x14ac:dyDescent="0.25">
      <c r="A42" s="23"/>
      <c r="B42" s="28" t="s">
        <v>15</v>
      </c>
      <c r="C42" s="21">
        <v>8</v>
      </c>
      <c r="D42" s="21">
        <v>2690</v>
      </c>
      <c r="E42" s="21">
        <f>F42+G42+H42</f>
        <v>2448</v>
      </c>
      <c r="F42" s="29">
        <v>1143</v>
      </c>
      <c r="G42" s="29">
        <v>1117</v>
      </c>
      <c r="H42" s="29">
        <f>338-150</f>
        <v>188</v>
      </c>
      <c r="I42" s="21">
        <v>2730</v>
      </c>
      <c r="J42" s="30">
        <f t="shared" ref="J42:J45" si="81">(I42*F42*0.2)</f>
        <v>624078</v>
      </c>
      <c r="K42" s="30">
        <f t="shared" ref="K42:K43" si="82">(I42*G42*0.5)</f>
        <v>1524705</v>
      </c>
      <c r="L42" s="30">
        <f t="shared" ref="L42:L43" si="83">(I42*H42*0.7)</f>
        <v>359268</v>
      </c>
      <c r="M42" s="30">
        <f t="shared" ref="M42:M43" si="84">J42+K42+L42</f>
        <v>2508051</v>
      </c>
      <c r="N42" s="30">
        <f t="shared" ref="N42:N43" si="85">ROUND((M42*9/1000),0)</f>
        <v>22572</v>
      </c>
      <c r="O42" s="30">
        <v>621</v>
      </c>
      <c r="P42" s="30">
        <f>ROUND(D42*O42/1000,0)</f>
        <v>1670</v>
      </c>
      <c r="Q42" s="30">
        <f t="shared" ref="Q42:Q43" si="86">N42+P42</f>
        <v>24242</v>
      </c>
    </row>
    <row r="43" spans="1:17" x14ac:dyDescent="0.25">
      <c r="A43" s="23"/>
      <c r="B43" s="28" t="s">
        <v>16</v>
      </c>
      <c r="C43" s="21">
        <v>2</v>
      </c>
      <c r="D43" s="21">
        <v>92</v>
      </c>
      <c r="E43" s="21">
        <f>F43+G43+H43</f>
        <v>82</v>
      </c>
      <c r="F43" s="21">
        <v>36</v>
      </c>
      <c r="G43" s="21">
        <v>36</v>
      </c>
      <c r="H43" s="29">
        <v>10</v>
      </c>
      <c r="I43" s="21">
        <v>2082</v>
      </c>
      <c r="J43" s="30">
        <f t="shared" si="81"/>
        <v>14990.400000000001</v>
      </c>
      <c r="K43" s="30">
        <f t="shared" si="82"/>
        <v>37476</v>
      </c>
      <c r="L43" s="30">
        <f t="shared" si="83"/>
        <v>14573.999999999998</v>
      </c>
      <c r="M43" s="30">
        <f t="shared" si="84"/>
        <v>67040.399999999994</v>
      </c>
      <c r="N43" s="30">
        <f t="shared" si="85"/>
        <v>603</v>
      </c>
      <c r="O43" s="30">
        <v>621</v>
      </c>
      <c r="P43" s="30">
        <f>ROUND(D43*O43/1000,0)</f>
        <v>57</v>
      </c>
      <c r="Q43" s="30">
        <f t="shared" si="86"/>
        <v>660</v>
      </c>
    </row>
    <row r="44" spans="1:17" s="18" customFormat="1" x14ac:dyDescent="0.2">
      <c r="A44" s="24">
        <v>14</v>
      </c>
      <c r="B44" s="25" t="s">
        <v>29</v>
      </c>
      <c r="C44" s="31">
        <f>C45+C46</f>
        <v>11</v>
      </c>
      <c r="D44" s="31">
        <f>D45+D46</f>
        <v>1724</v>
      </c>
      <c r="E44" s="26">
        <f>E45+E46</f>
        <v>1518</v>
      </c>
      <c r="F44" s="26">
        <f t="shared" ref="F44:H44" si="87">F45+F46</f>
        <v>633</v>
      </c>
      <c r="G44" s="26">
        <f t="shared" si="87"/>
        <v>802</v>
      </c>
      <c r="H44" s="26">
        <f t="shared" si="87"/>
        <v>83</v>
      </c>
      <c r="I44" s="31"/>
      <c r="J44" s="37">
        <f t="shared" ref="J44:N44" si="88">J45+J46</f>
        <v>351948</v>
      </c>
      <c r="K44" s="37">
        <f t="shared" si="88"/>
        <v>1114780</v>
      </c>
      <c r="L44" s="37">
        <f t="shared" si="88"/>
        <v>161518</v>
      </c>
      <c r="M44" s="37">
        <f t="shared" si="88"/>
        <v>1628246</v>
      </c>
      <c r="N44" s="37">
        <f t="shared" si="88"/>
        <v>14654</v>
      </c>
      <c r="O44" s="43"/>
      <c r="P44" s="37">
        <f>P45+P46</f>
        <v>1346</v>
      </c>
      <c r="Q44" s="37">
        <f>Q45+Q46</f>
        <v>16000</v>
      </c>
    </row>
    <row r="45" spans="1:17" s="19" customFormat="1" x14ac:dyDescent="0.25">
      <c r="A45" s="23"/>
      <c r="B45" s="28" t="s">
        <v>15</v>
      </c>
      <c r="C45" s="21">
        <f>C47+C48</f>
        <v>11</v>
      </c>
      <c r="D45" s="21">
        <f>D47+D48</f>
        <v>1724</v>
      </c>
      <c r="E45" s="21">
        <f>F45+G45+H45</f>
        <v>1518</v>
      </c>
      <c r="F45" s="21">
        <f>F47+F48</f>
        <v>633</v>
      </c>
      <c r="G45" s="21">
        <f t="shared" ref="G45" si="89">G47+G48</f>
        <v>802</v>
      </c>
      <c r="H45" s="21">
        <f>H47+H48</f>
        <v>83</v>
      </c>
      <c r="I45" s="21">
        <v>2780</v>
      </c>
      <c r="J45" s="30">
        <f t="shared" si="81"/>
        <v>351948</v>
      </c>
      <c r="K45" s="30">
        <f t="shared" ref="K45" si="90">(I45*G45*0.5)</f>
        <v>1114780</v>
      </c>
      <c r="L45" s="30">
        <f t="shared" ref="L45" si="91">(I45*H45*0.7)</f>
        <v>161518</v>
      </c>
      <c r="M45" s="30">
        <f>J45+K45+L45</f>
        <v>1628246</v>
      </c>
      <c r="N45" s="30">
        <f>ROUND((M45*9/1000),0)</f>
        <v>14654</v>
      </c>
      <c r="O45" s="30"/>
      <c r="P45" s="30">
        <f>P47+P48</f>
        <v>1346</v>
      </c>
      <c r="Q45" s="30">
        <f>N45+P45</f>
        <v>16000</v>
      </c>
    </row>
    <row r="46" spans="1:17" s="19" customFormat="1" x14ac:dyDescent="0.25">
      <c r="A46" s="23"/>
      <c r="B46" s="28" t="s">
        <v>16</v>
      </c>
      <c r="C46" s="21"/>
      <c r="D46" s="21"/>
      <c r="E46" s="21"/>
      <c r="F46" s="21"/>
      <c r="G46" s="21"/>
      <c r="H46" s="29"/>
      <c r="I46" s="21"/>
      <c r="J46" s="30"/>
      <c r="K46" s="30"/>
      <c r="L46" s="30"/>
      <c r="M46" s="30"/>
      <c r="N46" s="30"/>
      <c r="O46" s="30"/>
      <c r="P46" s="30"/>
      <c r="Q46" s="37"/>
    </row>
    <row r="47" spans="1:17" s="19" customFormat="1" x14ac:dyDescent="0.25">
      <c r="A47" s="23"/>
      <c r="B47" s="38" t="s">
        <v>30</v>
      </c>
      <c r="C47" s="39">
        <v>4</v>
      </c>
      <c r="D47" s="39">
        <v>1183</v>
      </c>
      <c r="E47" s="21">
        <f t="shared" ref="E47:E48" si="92">F47+G47+H47</f>
        <v>1030</v>
      </c>
      <c r="F47" s="39">
        <f>585-200</f>
        <v>385</v>
      </c>
      <c r="G47" s="39">
        <v>596</v>
      </c>
      <c r="H47" s="39">
        <f>199-150</f>
        <v>49</v>
      </c>
      <c r="I47" s="39"/>
      <c r="J47" s="40"/>
      <c r="K47" s="40"/>
      <c r="L47" s="40"/>
      <c r="M47" s="40"/>
      <c r="N47" s="40"/>
      <c r="O47" s="30">
        <v>621</v>
      </c>
      <c r="P47" s="40">
        <f>ROUND(D47*O47/1000,0)</f>
        <v>735</v>
      </c>
      <c r="Q47" s="44"/>
    </row>
    <row r="48" spans="1:17" s="19" customFormat="1" x14ac:dyDescent="0.25">
      <c r="A48" s="23"/>
      <c r="B48" s="38" t="s">
        <v>31</v>
      </c>
      <c r="C48" s="39">
        <v>7</v>
      </c>
      <c r="D48" s="39">
        <v>541</v>
      </c>
      <c r="E48" s="21">
        <f t="shared" si="92"/>
        <v>488</v>
      </c>
      <c r="F48" s="39">
        <f>258-10</f>
        <v>248</v>
      </c>
      <c r="G48" s="39">
        <v>206</v>
      </c>
      <c r="H48" s="39">
        <f>84-50</f>
        <v>34</v>
      </c>
      <c r="I48" s="39"/>
      <c r="J48" s="40"/>
      <c r="K48" s="40"/>
      <c r="L48" s="40"/>
      <c r="M48" s="40"/>
      <c r="N48" s="40"/>
      <c r="O48" s="40">
        <v>1130</v>
      </c>
      <c r="P48" s="40">
        <f>ROUND(D48*O48/1000,0)</f>
        <v>611</v>
      </c>
      <c r="Q48" s="44"/>
    </row>
    <row r="49" spans="1:17" s="16" customFormat="1" x14ac:dyDescent="0.2">
      <c r="A49" s="24">
        <v>15</v>
      </c>
      <c r="B49" s="25" t="s">
        <v>32</v>
      </c>
      <c r="C49" s="31">
        <f>C50+C51</f>
        <v>20</v>
      </c>
      <c r="D49" s="31">
        <f t="shared" ref="D49:H49" si="93">D50+D51</f>
        <v>1811</v>
      </c>
      <c r="E49" s="31">
        <f t="shared" si="93"/>
        <v>1607</v>
      </c>
      <c r="F49" s="31">
        <f t="shared" si="93"/>
        <v>581</v>
      </c>
      <c r="G49" s="31">
        <f t="shared" si="93"/>
        <v>738</v>
      </c>
      <c r="H49" s="31">
        <f t="shared" si="93"/>
        <v>288</v>
      </c>
      <c r="I49" s="31"/>
      <c r="J49" s="27">
        <f>J50+J51</f>
        <v>376488</v>
      </c>
      <c r="K49" s="27">
        <f t="shared" ref="K49:N49" si="94">K50+K51</f>
        <v>1195560</v>
      </c>
      <c r="L49" s="27">
        <f t="shared" si="94"/>
        <v>653184</v>
      </c>
      <c r="M49" s="27">
        <f t="shared" si="94"/>
        <v>2225232</v>
      </c>
      <c r="N49" s="27">
        <f t="shared" si="94"/>
        <v>20027</v>
      </c>
      <c r="O49" s="31"/>
      <c r="P49" s="27">
        <f t="shared" ref="P49:Q49" si="95">P50+P51</f>
        <v>1506</v>
      </c>
      <c r="Q49" s="27">
        <f t="shared" si="95"/>
        <v>21533</v>
      </c>
    </row>
    <row r="50" spans="1:17" x14ac:dyDescent="0.25">
      <c r="A50" s="23"/>
      <c r="B50" s="28" t="s">
        <v>15</v>
      </c>
      <c r="C50" s="21">
        <f>C52+C53</f>
        <v>20</v>
      </c>
      <c r="D50" s="21">
        <f>D52+D53</f>
        <v>1811</v>
      </c>
      <c r="E50" s="21">
        <f>F50+G50+H50</f>
        <v>1607</v>
      </c>
      <c r="F50" s="21">
        <f t="shared" ref="F50:G50" si="96">F52+F53</f>
        <v>581</v>
      </c>
      <c r="G50" s="21">
        <f t="shared" si="96"/>
        <v>738</v>
      </c>
      <c r="H50" s="21">
        <f>H52+H53</f>
        <v>288</v>
      </c>
      <c r="I50" s="21">
        <v>3240</v>
      </c>
      <c r="J50" s="30">
        <f>(I50*F50*0.2)</f>
        <v>376488</v>
      </c>
      <c r="K50" s="30">
        <f>(I50*G50*0.5)</f>
        <v>1195560</v>
      </c>
      <c r="L50" s="30">
        <f>(I50*H50*0.7)</f>
        <v>653184</v>
      </c>
      <c r="M50" s="30">
        <f>J50+K50+L50</f>
        <v>2225232</v>
      </c>
      <c r="N50" s="30">
        <f>ROUND((M50*9/1000),0)</f>
        <v>20027</v>
      </c>
      <c r="O50" s="30"/>
      <c r="P50" s="30">
        <f>P52+P53</f>
        <v>1506</v>
      </c>
      <c r="Q50" s="30">
        <f>N50+P50</f>
        <v>21533</v>
      </c>
    </row>
    <row r="51" spans="1:17" x14ac:dyDescent="0.25">
      <c r="A51" s="23"/>
      <c r="B51" s="28" t="s">
        <v>16</v>
      </c>
      <c r="C51" s="21"/>
      <c r="D51" s="21"/>
      <c r="E51" s="21"/>
      <c r="F51" s="21"/>
      <c r="G51" s="21"/>
      <c r="H51" s="29"/>
      <c r="I51" s="21"/>
      <c r="J51" s="30"/>
      <c r="K51" s="30"/>
      <c r="L51" s="30"/>
      <c r="M51" s="30"/>
      <c r="N51" s="30"/>
      <c r="O51" s="30"/>
      <c r="P51" s="30"/>
      <c r="Q51" s="30"/>
    </row>
    <row r="52" spans="1:17" x14ac:dyDescent="0.25">
      <c r="A52" s="23"/>
      <c r="B52" s="38" t="s">
        <v>30</v>
      </c>
      <c r="C52" s="39">
        <v>8</v>
      </c>
      <c r="D52" s="39">
        <v>1062</v>
      </c>
      <c r="E52" s="21">
        <f t="shared" ref="E52:E53" si="97">F52+G52+H52</f>
        <v>909</v>
      </c>
      <c r="F52" s="39">
        <f>344-24</f>
        <v>320</v>
      </c>
      <c r="G52" s="39">
        <v>447</v>
      </c>
      <c r="H52" s="39">
        <f>292-150</f>
        <v>142</v>
      </c>
      <c r="I52" s="39"/>
      <c r="J52" s="40"/>
      <c r="K52" s="40"/>
      <c r="L52" s="40"/>
      <c r="M52" s="40"/>
      <c r="N52" s="40"/>
      <c r="O52" s="30">
        <v>621</v>
      </c>
      <c r="P52" s="40">
        <f>ROUND(D52*O52/1000,0)</f>
        <v>660</v>
      </c>
      <c r="Q52" s="44"/>
    </row>
    <row r="53" spans="1:17" x14ac:dyDescent="0.25">
      <c r="A53" s="23"/>
      <c r="B53" s="38" t="s">
        <v>31</v>
      </c>
      <c r="C53" s="39">
        <v>12</v>
      </c>
      <c r="D53" s="39">
        <v>749</v>
      </c>
      <c r="E53" s="21">
        <f t="shared" si="97"/>
        <v>698</v>
      </c>
      <c r="F53" s="39">
        <f>278-17</f>
        <v>261</v>
      </c>
      <c r="G53" s="39">
        <v>291</v>
      </c>
      <c r="H53" s="39">
        <f>196-50</f>
        <v>146</v>
      </c>
      <c r="I53" s="39"/>
      <c r="J53" s="40"/>
      <c r="K53" s="40"/>
      <c r="L53" s="40"/>
      <c r="M53" s="40"/>
      <c r="N53" s="40"/>
      <c r="O53" s="40">
        <v>1130</v>
      </c>
      <c r="P53" s="40">
        <f>ROUND(D53*O53/1000,0)</f>
        <v>846</v>
      </c>
      <c r="Q53" s="44"/>
    </row>
    <row r="54" spans="1:17" s="16" customFormat="1" x14ac:dyDescent="0.2">
      <c r="A54" s="24">
        <v>16</v>
      </c>
      <c r="B54" s="25" t="s">
        <v>33</v>
      </c>
      <c r="C54" s="31">
        <f>C55+C56</f>
        <v>19</v>
      </c>
      <c r="D54" s="31">
        <f t="shared" ref="D54:H54" si="98">D55+D56</f>
        <v>1778</v>
      </c>
      <c r="E54" s="31">
        <f t="shared" si="98"/>
        <v>1574</v>
      </c>
      <c r="F54" s="31">
        <f t="shared" si="98"/>
        <v>430</v>
      </c>
      <c r="G54" s="31">
        <f t="shared" si="98"/>
        <v>690</v>
      </c>
      <c r="H54" s="31">
        <f t="shared" si="98"/>
        <v>454</v>
      </c>
      <c r="I54" s="31"/>
      <c r="J54" s="32">
        <f t="shared" ref="J54:N54" si="99">J55+J56</f>
        <v>307020</v>
      </c>
      <c r="K54" s="32">
        <f t="shared" si="99"/>
        <v>1231650</v>
      </c>
      <c r="L54" s="32">
        <f t="shared" si="99"/>
        <v>1134546</v>
      </c>
      <c r="M54" s="32">
        <f t="shared" si="99"/>
        <v>2673216</v>
      </c>
      <c r="N54" s="32">
        <f t="shared" si="99"/>
        <v>24059</v>
      </c>
      <c r="O54" s="43"/>
      <c r="P54" s="32">
        <f t="shared" ref="P54:Q54" si="100">P55+P56</f>
        <v>1390</v>
      </c>
      <c r="Q54" s="32">
        <f t="shared" si="100"/>
        <v>25449</v>
      </c>
    </row>
    <row r="55" spans="1:17" x14ac:dyDescent="0.25">
      <c r="A55" s="23"/>
      <c r="B55" s="28" t="s">
        <v>15</v>
      </c>
      <c r="C55" s="21">
        <f>C57+C58</f>
        <v>19</v>
      </c>
      <c r="D55" s="21">
        <f>D57+D58</f>
        <v>1778</v>
      </c>
      <c r="E55" s="21">
        <f>F55+G55+H55</f>
        <v>1574</v>
      </c>
      <c r="F55" s="21">
        <f>F57+F58</f>
        <v>430</v>
      </c>
      <c r="G55" s="21">
        <f t="shared" ref="G55" si="101">G57+G58</f>
        <v>690</v>
      </c>
      <c r="H55" s="21">
        <f>H57+H58</f>
        <v>454</v>
      </c>
      <c r="I55" s="21">
        <v>3570</v>
      </c>
      <c r="J55" s="30">
        <f>(I55*F55*0.2)</f>
        <v>307020</v>
      </c>
      <c r="K55" s="30">
        <f>(I55*G55*0.5)</f>
        <v>1231650</v>
      </c>
      <c r="L55" s="30">
        <f>(I55*H55*0.7)</f>
        <v>1134546</v>
      </c>
      <c r="M55" s="30">
        <f>J55+K55+L55</f>
        <v>2673216</v>
      </c>
      <c r="N55" s="30">
        <f>ROUND((M55*9/1000),0)</f>
        <v>24059</v>
      </c>
      <c r="O55" s="30"/>
      <c r="P55" s="30">
        <f>P57+P58</f>
        <v>1390</v>
      </c>
      <c r="Q55" s="30">
        <f>N55+P55</f>
        <v>25449</v>
      </c>
    </row>
    <row r="56" spans="1:17" x14ac:dyDescent="0.25">
      <c r="A56" s="23"/>
      <c r="B56" s="28" t="s">
        <v>16</v>
      </c>
      <c r="C56" s="21"/>
      <c r="D56" s="21"/>
      <c r="E56" s="21"/>
      <c r="F56" s="21"/>
      <c r="G56" s="21"/>
      <c r="H56" s="29"/>
      <c r="I56" s="21"/>
      <c r="J56" s="30"/>
      <c r="K56" s="30"/>
      <c r="L56" s="30"/>
      <c r="M56" s="30"/>
      <c r="N56" s="30"/>
      <c r="O56" s="30"/>
      <c r="P56" s="30"/>
      <c r="Q56" s="37"/>
    </row>
    <row r="57" spans="1:17" x14ac:dyDescent="0.25">
      <c r="A57" s="23"/>
      <c r="B57" s="38" t="s">
        <v>30</v>
      </c>
      <c r="C57" s="39">
        <v>8</v>
      </c>
      <c r="D57" s="39">
        <v>1216</v>
      </c>
      <c r="E57" s="21">
        <f t="shared" ref="E57:E58" si="102">F57+G57+H57</f>
        <v>1015</v>
      </c>
      <c r="F57" s="39">
        <f>421-123</f>
        <v>298</v>
      </c>
      <c r="G57" s="39">
        <v>482</v>
      </c>
      <c r="H57" s="39">
        <f>435-200</f>
        <v>235</v>
      </c>
      <c r="I57" s="39"/>
      <c r="J57" s="40"/>
      <c r="K57" s="40"/>
      <c r="L57" s="40"/>
      <c r="M57" s="40"/>
      <c r="N57" s="40"/>
      <c r="O57" s="30">
        <v>621</v>
      </c>
      <c r="P57" s="40">
        <f>ROUND(D57*O57/1000,0)</f>
        <v>755</v>
      </c>
      <c r="Q57" s="44"/>
    </row>
    <row r="58" spans="1:17" x14ac:dyDescent="0.25">
      <c r="A58" s="23"/>
      <c r="B58" s="38" t="s">
        <v>31</v>
      </c>
      <c r="C58" s="39">
        <v>11</v>
      </c>
      <c r="D58" s="39">
        <v>562</v>
      </c>
      <c r="E58" s="21">
        <f t="shared" si="102"/>
        <v>559</v>
      </c>
      <c r="F58" s="39">
        <f>212-80</f>
        <v>132</v>
      </c>
      <c r="G58" s="39">
        <v>208</v>
      </c>
      <c r="H58" s="39">
        <v>219</v>
      </c>
      <c r="I58" s="39"/>
      <c r="J58" s="40"/>
      <c r="K58" s="40"/>
      <c r="L58" s="40"/>
      <c r="M58" s="40"/>
      <c r="N58" s="40"/>
      <c r="O58" s="40">
        <v>1130</v>
      </c>
      <c r="P58" s="40">
        <f>ROUND(D58*O58/1000,0)</f>
        <v>635</v>
      </c>
      <c r="Q58" s="44"/>
    </row>
    <row r="59" spans="1:17" s="16" customFormat="1" x14ac:dyDescent="0.2">
      <c r="A59" s="24">
        <v>17</v>
      </c>
      <c r="B59" s="25" t="s">
        <v>34</v>
      </c>
      <c r="C59" s="31">
        <f>C60+C61</f>
        <v>22</v>
      </c>
      <c r="D59" s="31">
        <f t="shared" ref="D59" si="103">D60+D61</f>
        <v>1734</v>
      </c>
      <c r="E59" s="31">
        <f>E60+E61</f>
        <v>1543</v>
      </c>
      <c r="F59" s="31">
        <f>F60+F61</f>
        <v>524</v>
      </c>
      <c r="G59" s="31">
        <f t="shared" ref="G59:H59" si="104">G60+G61</f>
        <v>745</v>
      </c>
      <c r="H59" s="31">
        <f t="shared" si="104"/>
        <v>274</v>
      </c>
      <c r="I59" s="31"/>
      <c r="J59" s="27">
        <f>J60+J61</f>
        <v>334242</v>
      </c>
      <c r="K59" s="27">
        <f t="shared" ref="K59:N59" si="105">K60+K61</f>
        <v>1190323</v>
      </c>
      <c r="L59" s="27">
        <f t="shared" si="105"/>
        <v>612977.4</v>
      </c>
      <c r="M59" s="27">
        <f t="shared" si="105"/>
        <v>2137542.4</v>
      </c>
      <c r="N59" s="27">
        <f t="shared" si="105"/>
        <v>19238</v>
      </c>
      <c r="O59" s="31"/>
      <c r="P59" s="27">
        <f>P60+P61</f>
        <v>1598</v>
      </c>
      <c r="Q59" s="27">
        <f t="shared" ref="Q59" si="106">Q60+Q61</f>
        <v>20836</v>
      </c>
    </row>
    <row r="60" spans="1:17" x14ac:dyDescent="0.25">
      <c r="A60" s="23"/>
      <c r="B60" s="28" t="s">
        <v>15</v>
      </c>
      <c r="C60" s="21">
        <v>21</v>
      </c>
      <c r="D60" s="21">
        <v>1722</v>
      </c>
      <c r="E60" s="21">
        <f t="shared" ref="E60:E63" si="107">F60+G60+H60</f>
        <v>1534</v>
      </c>
      <c r="F60" s="21">
        <f>F62+F63-F61</f>
        <v>519</v>
      </c>
      <c r="G60" s="21">
        <f t="shared" ref="G60" si="108">G62+G63-G61</f>
        <v>742</v>
      </c>
      <c r="H60" s="21">
        <f>H62+H63-H61</f>
        <v>273</v>
      </c>
      <c r="I60" s="21">
        <v>3200</v>
      </c>
      <c r="J60" s="30">
        <f t="shared" ref="J60:J61" si="109">(I60*F60*0.2)</f>
        <v>332160</v>
      </c>
      <c r="K60" s="30">
        <f t="shared" ref="K60:K61" si="110">(I60*G60*0.5)</f>
        <v>1187200</v>
      </c>
      <c r="L60" s="30">
        <f t="shared" ref="L60:L61" si="111">(I60*H60*0.7)</f>
        <v>611520</v>
      </c>
      <c r="M60" s="30">
        <f t="shared" ref="M60:M61" si="112">J60+K60+L60</f>
        <v>2130880</v>
      </c>
      <c r="N60" s="30">
        <f t="shared" ref="N60:N61" si="113">ROUND((M60*9/1000),0)</f>
        <v>19178</v>
      </c>
      <c r="O60" s="30"/>
      <c r="P60" s="30">
        <v>1591</v>
      </c>
      <c r="Q60" s="30">
        <f t="shared" ref="Q60:Q61" si="114">N60+P60</f>
        <v>20769</v>
      </c>
    </row>
    <row r="61" spans="1:17" x14ac:dyDescent="0.25">
      <c r="A61" s="23"/>
      <c r="B61" s="28" t="s">
        <v>16</v>
      </c>
      <c r="C61" s="21">
        <v>1</v>
      </c>
      <c r="D61" s="21">
        <v>12</v>
      </c>
      <c r="E61" s="21">
        <f t="shared" si="107"/>
        <v>9</v>
      </c>
      <c r="F61" s="21">
        <v>5</v>
      </c>
      <c r="G61" s="21">
        <v>3</v>
      </c>
      <c r="H61" s="29">
        <v>1</v>
      </c>
      <c r="I61" s="21">
        <v>2082</v>
      </c>
      <c r="J61" s="30">
        <f t="shared" si="109"/>
        <v>2082</v>
      </c>
      <c r="K61" s="30">
        <f t="shared" si="110"/>
        <v>3123</v>
      </c>
      <c r="L61" s="30">
        <f t="shared" si="111"/>
        <v>1457.3999999999999</v>
      </c>
      <c r="M61" s="30">
        <f t="shared" si="112"/>
        <v>6662.4</v>
      </c>
      <c r="N61" s="30">
        <f t="shared" si="113"/>
        <v>60</v>
      </c>
      <c r="O61" s="30">
        <v>621</v>
      </c>
      <c r="P61" s="30">
        <f>ROUND(D61*O61/1000,0)</f>
        <v>7</v>
      </c>
      <c r="Q61" s="30">
        <f t="shared" si="114"/>
        <v>67</v>
      </c>
    </row>
    <row r="62" spans="1:17" x14ac:dyDescent="0.25">
      <c r="A62" s="23"/>
      <c r="B62" s="38" t="s">
        <v>30</v>
      </c>
      <c r="C62" s="39">
        <f>6+1</f>
        <v>7</v>
      </c>
      <c r="D62" s="39">
        <f>997+12</f>
        <v>1009</v>
      </c>
      <c r="E62" s="21">
        <f t="shared" si="107"/>
        <v>873</v>
      </c>
      <c r="F62" s="39">
        <f>426-130</f>
        <v>296</v>
      </c>
      <c r="G62" s="39">
        <v>453</v>
      </c>
      <c r="H62" s="39">
        <f>224-100</f>
        <v>124</v>
      </c>
      <c r="I62" s="39"/>
      <c r="J62" s="40"/>
      <c r="K62" s="40"/>
      <c r="L62" s="40"/>
      <c r="M62" s="40"/>
      <c r="N62" s="40"/>
      <c r="O62" s="30">
        <v>621</v>
      </c>
      <c r="P62" s="40">
        <f>ROUND(D62*O62/1000,0)</f>
        <v>627</v>
      </c>
      <c r="Q62" s="44"/>
    </row>
    <row r="63" spans="1:17" x14ac:dyDescent="0.25">
      <c r="A63" s="23"/>
      <c r="B63" s="38" t="s">
        <v>31</v>
      </c>
      <c r="C63" s="39">
        <v>15</v>
      </c>
      <c r="D63" s="39">
        <v>725</v>
      </c>
      <c r="E63" s="21">
        <f t="shared" si="107"/>
        <v>670</v>
      </c>
      <c r="F63" s="39">
        <f>283-55</f>
        <v>228</v>
      </c>
      <c r="G63" s="39">
        <v>292</v>
      </c>
      <c r="H63" s="39">
        <f>200-50</f>
        <v>150</v>
      </c>
      <c r="I63" s="39"/>
      <c r="J63" s="40"/>
      <c r="K63" s="40"/>
      <c r="L63" s="40"/>
      <c r="M63" s="40"/>
      <c r="N63" s="40"/>
      <c r="O63" s="40">
        <v>1130</v>
      </c>
      <c r="P63" s="40">
        <f>ROUND(D63*O63/1000,0)</f>
        <v>819</v>
      </c>
      <c r="Q63" s="44"/>
    </row>
    <row r="64" spans="1:17" s="16" customFormat="1" x14ac:dyDescent="0.2">
      <c r="A64" s="24">
        <v>18</v>
      </c>
      <c r="B64" s="25" t="s">
        <v>35</v>
      </c>
      <c r="C64" s="31">
        <f>C65+C66</f>
        <v>26</v>
      </c>
      <c r="D64" s="31">
        <f t="shared" ref="D64:E64" si="115">D65+D66</f>
        <v>8167</v>
      </c>
      <c r="E64" s="31">
        <f t="shared" si="115"/>
        <v>6205</v>
      </c>
      <c r="F64" s="31">
        <f>F65+F66</f>
        <v>1730</v>
      </c>
      <c r="G64" s="31">
        <f t="shared" ref="G64:H64" si="116">G65+G66</f>
        <v>3514</v>
      </c>
      <c r="H64" s="31">
        <f t="shared" si="116"/>
        <v>961</v>
      </c>
      <c r="I64" s="31"/>
      <c r="J64" s="27">
        <f>J65+J66</f>
        <v>1223356.2</v>
      </c>
      <c r="K64" s="27">
        <f t="shared" ref="K64:N64" si="117">K65+K66</f>
        <v>6241489</v>
      </c>
      <c r="L64" s="27">
        <f t="shared" si="117"/>
        <v>2387619.5</v>
      </c>
      <c r="M64" s="27">
        <f t="shared" si="117"/>
        <v>9852464.6999999993</v>
      </c>
      <c r="N64" s="27">
        <f t="shared" si="117"/>
        <v>88673</v>
      </c>
      <c r="O64" s="37"/>
      <c r="P64" s="27">
        <f t="shared" ref="P64:Q64" si="118">P65+P66</f>
        <v>6107</v>
      </c>
      <c r="Q64" s="27">
        <f t="shared" si="118"/>
        <v>94780</v>
      </c>
    </row>
    <row r="65" spans="1:17" x14ac:dyDescent="0.25">
      <c r="A65" s="23"/>
      <c r="B65" s="28" t="s">
        <v>15</v>
      </c>
      <c r="C65" s="21">
        <v>25</v>
      </c>
      <c r="D65" s="21">
        <v>8047</v>
      </c>
      <c r="E65" s="21">
        <f t="shared" ref="E65:E71" si="119">F65+G65+H65</f>
        <v>6106</v>
      </c>
      <c r="F65" s="21">
        <f>F67+F68-F66</f>
        <v>1689</v>
      </c>
      <c r="G65" s="21">
        <f t="shared" ref="G65" si="120">G67+G68-G66</f>
        <v>3470</v>
      </c>
      <c r="H65" s="21">
        <f>H67+H68-H66</f>
        <v>947</v>
      </c>
      <c r="I65" s="21">
        <v>3571</v>
      </c>
      <c r="J65" s="30">
        <f t="shared" ref="J65:J66" si="121">(I65*F65*0.2)</f>
        <v>1206283.8</v>
      </c>
      <c r="K65" s="30">
        <f t="shared" ref="K65:K66" si="122">(I65*G65*0.5)</f>
        <v>6195685</v>
      </c>
      <c r="L65" s="30">
        <f t="shared" ref="L65:L66" si="123">(I65*H65*0.7)</f>
        <v>2367215.9</v>
      </c>
      <c r="M65" s="30">
        <f t="shared" ref="M65:M66" si="124">J65+K65+L65</f>
        <v>9769184.6999999993</v>
      </c>
      <c r="N65" s="30">
        <f t="shared" ref="N65:N66" si="125">ROUND((M65*9/1000),0)</f>
        <v>87923</v>
      </c>
      <c r="O65" s="30"/>
      <c r="P65" s="30">
        <v>5971</v>
      </c>
      <c r="Q65" s="30">
        <f t="shared" ref="Q65:Q66" si="126">N65+P65</f>
        <v>93894</v>
      </c>
    </row>
    <row r="66" spans="1:17" x14ac:dyDescent="0.25">
      <c r="A66" s="23"/>
      <c r="B66" s="28" t="s">
        <v>16</v>
      </c>
      <c r="C66" s="21">
        <v>1</v>
      </c>
      <c r="D66" s="21">
        <v>120</v>
      </c>
      <c r="E66" s="21">
        <f t="shared" si="119"/>
        <v>99</v>
      </c>
      <c r="F66" s="21">
        <v>41</v>
      </c>
      <c r="G66" s="21">
        <v>44</v>
      </c>
      <c r="H66" s="29">
        <v>14</v>
      </c>
      <c r="I66" s="21">
        <v>2082</v>
      </c>
      <c r="J66" s="30">
        <f t="shared" si="121"/>
        <v>17072.400000000001</v>
      </c>
      <c r="K66" s="30">
        <f t="shared" si="122"/>
        <v>45804</v>
      </c>
      <c r="L66" s="30">
        <f t="shared" si="123"/>
        <v>20403.599999999999</v>
      </c>
      <c r="M66" s="30">
        <f t="shared" si="124"/>
        <v>83280</v>
      </c>
      <c r="N66" s="30">
        <f t="shared" si="125"/>
        <v>750</v>
      </c>
      <c r="O66" s="40">
        <v>1130</v>
      </c>
      <c r="P66" s="30">
        <f>ROUND(D66*O66/1000,0)</f>
        <v>136</v>
      </c>
      <c r="Q66" s="30">
        <f t="shared" si="126"/>
        <v>886</v>
      </c>
    </row>
    <row r="67" spans="1:17" x14ac:dyDescent="0.25">
      <c r="A67" s="23"/>
      <c r="B67" s="38" t="s">
        <v>30</v>
      </c>
      <c r="C67" s="39">
        <v>13</v>
      </c>
      <c r="D67" s="39">
        <v>5970</v>
      </c>
      <c r="E67" s="21">
        <f t="shared" si="119"/>
        <v>4398</v>
      </c>
      <c r="F67" s="39">
        <v>1217</v>
      </c>
      <c r="G67" s="39">
        <v>2616</v>
      </c>
      <c r="H67" s="39">
        <f>1065-500</f>
        <v>565</v>
      </c>
      <c r="I67" s="39"/>
      <c r="J67" s="40"/>
      <c r="K67" s="40"/>
      <c r="L67" s="40"/>
      <c r="M67" s="40"/>
      <c r="N67" s="40"/>
      <c r="O67" s="30">
        <v>621</v>
      </c>
      <c r="P67" s="40">
        <f>ROUND(D67*O67/1000,0)</f>
        <v>3707</v>
      </c>
      <c r="Q67" s="44"/>
    </row>
    <row r="68" spans="1:17" x14ac:dyDescent="0.25">
      <c r="A68" s="23"/>
      <c r="B68" s="38" t="s">
        <v>31</v>
      </c>
      <c r="C68" s="39">
        <f>12+1</f>
        <v>13</v>
      </c>
      <c r="D68" s="39">
        <f>2077+120</f>
        <v>2197</v>
      </c>
      <c r="E68" s="21">
        <f t="shared" si="119"/>
        <v>1807</v>
      </c>
      <c r="F68" s="39">
        <v>513</v>
      </c>
      <c r="G68" s="39">
        <v>898</v>
      </c>
      <c r="H68" s="39">
        <v>396</v>
      </c>
      <c r="I68" s="39"/>
      <c r="J68" s="40"/>
      <c r="K68" s="40"/>
      <c r="L68" s="40"/>
      <c r="M68" s="40"/>
      <c r="N68" s="40"/>
      <c r="O68" s="40">
        <v>1130</v>
      </c>
      <c r="P68" s="40">
        <f>ROUND(D68*O68/1000,0)+1</f>
        <v>2484</v>
      </c>
      <c r="Q68" s="44"/>
    </row>
    <row r="69" spans="1:17" s="16" customFormat="1" x14ac:dyDescent="0.2">
      <c r="A69" s="24">
        <v>19</v>
      </c>
      <c r="B69" s="25" t="s">
        <v>36</v>
      </c>
      <c r="C69" s="31">
        <f>C70+C71</f>
        <v>10</v>
      </c>
      <c r="D69" s="31">
        <f>D70+D71</f>
        <v>3324</v>
      </c>
      <c r="E69" s="31">
        <f t="shared" ref="E69:H69" si="127">E70+E71</f>
        <v>2732</v>
      </c>
      <c r="F69" s="31">
        <f t="shared" si="127"/>
        <v>1064</v>
      </c>
      <c r="G69" s="31">
        <f t="shared" si="127"/>
        <v>1202</v>
      </c>
      <c r="H69" s="31">
        <f t="shared" si="127"/>
        <v>466</v>
      </c>
      <c r="I69" s="31"/>
      <c r="J69" s="27">
        <f>J70+J71</f>
        <v>671894.4</v>
      </c>
      <c r="K69" s="27">
        <f t="shared" ref="K69:N69" si="128">K70+K71</f>
        <v>1906142</v>
      </c>
      <c r="L69" s="27">
        <f t="shared" si="128"/>
        <v>1034361.9999999999</v>
      </c>
      <c r="M69" s="27">
        <f t="shared" si="128"/>
        <v>3612398.4</v>
      </c>
      <c r="N69" s="27">
        <f t="shared" si="128"/>
        <v>32512</v>
      </c>
      <c r="O69" s="37"/>
      <c r="P69" s="27">
        <f t="shared" ref="P69:Q69" si="129">P70+P71</f>
        <v>2149</v>
      </c>
      <c r="Q69" s="27">
        <f t="shared" si="129"/>
        <v>34661</v>
      </c>
    </row>
    <row r="70" spans="1:17" x14ac:dyDescent="0.25">
      <c r="A70" s="23"/>
      <c r="B70" s="28" t="s">
        <v>15</v>
      </c>
      <c r="C70" s="21">
        <f>C72+C73</f>
        <v>10</v>
      </c>
      <c r="D70" s="21">
        <v>3294</v>
      </c>
      <c r="E70" s="21">
        <f t="shared" si="119"/>
        <v>2702</v>
      </c>
      <c r="F70" s="21">
        <f>F72+F73-F71</f>
        <v>1044</v>
      </c>
      <c r="G70" s="21">
        <f t="shared" ref="G70" si="130">G72+G73-G71</f>
        <v>1195</v>
      </c>
      <c r="H70" s="21">
        <f>H72+H73-H71</f>
        <v>463</v>
      </c>
      <c r="I70" s="21">
        <v>3178</v>
      </c>
      <c r="J70" s="30">
        <f>(I70*F70*0.2)</f>
        <v>663566.4</v>
      </c>
      <c r="K70" s="30">
        <f>(I70*G70*0.5)</f>
        <v>1898855</v>
      </c>
      <c r="L70" s="30">
        <f>(I70*H70*0.7)</f>
        <v>1029989.7999999999</v>
      </c>
      <c r="M70" s="30">
        <f t="shared" ref="M70:M71" si="131">J70+K70+L70</f>
        <v>3592411.1999999997</v>
      </c>
      <c r="N70" s="30">
        <f t="shared" ref="N70:N71" si="132">ROUND((M70*9/1000),0)</f>
        <v>32332</v>
      </c>
      <c r="O70" s="30"/>
      <c r="P70" s="30">
        <f t="shared" ref="P70" si="133">P72+P73</f>
        <v>2130</v>
      </c>
      <c r="Q70" s="30">
        <f t="shared" ref="Q70:Q71" si="134">N70+P70</f>
        <v>34462</v>
      </c>
    </row>
    <row r="71" spans="1:17" x14ac:dyDescent="0.25">
      <c r="A71" s="23"/>
      <c r="B71" s="28" t="s">
        <v>16</v>
      </c>
      <c r="C71" s="21"/>
      <c r="D71" s="21">
        <v>30</v>
      </c>
      <c r="E71" s="21">
        <f t="shared" si="119"/>
        <v>30</v>
      </c>
      <c r="F71" s="21">
        <v>20</v>
      </c>
      <c r="G71" s="21">
        <v>7</v>
      </c>
      <c r="H71" s="29">
        <v>3</v>
      </c>
      <c r="I71" s="21">
        <v>2082</v>
      </c>
      <c r="J71" s="30">
        <f t="shared" ref="J71" si="135">(I71*F71*0.2)</f>
        <v>8328</v>
      </c>
      <c r="K71" s="30">
        <f t="shared" ref="K71" si="136">(I71*G71*0.5)</f>
        <v>7287</v>
      </c>
      <c r="L71" s="30">
        <f t="shared" ref="L71" si="137">(I71*H71*0.7)</f>
        <v>4372.2</v>
      </c>
      <c r="M71" s="30">
        <f t="shared" si="131"/>
        <v>19987.2</v>
      </c>
      <c r="N71" s="30">
        <f t="shared" si="132"/>
        <v>180</v>
      </c>
      <c r="O71" s="30">
        <v>621</v>
      </c>
      <c r="P71" s="30">
        <f>ROUND(D71*O71/1000,0)</f>
        <v>19</v>
      </c>
      <c r="Q71" s="30">
        <f t="shared" si="134"/>
        <v>199</v>
      </c>
    </row>
    <row r="72" spans="1:17" x14ac:dyDescent="0.25">
      <c r="A72" s="23"/>
      <c r="B72" s="38" t="s">
        <v>30</v>
      </c>
      <c r="C72" s="39">
        <v>9</v>
      </c>
      <c r="D72" s="39">
        <f>3164+30</f>
        <v>3194</v>
      </c>
      <c r="E72" s="21">
        <f>F72+G72+H72</f>
        <v>2604</v>
      </c>
      <c r="F72" s="39">
        <v>1028</v>
      </c>
      <c r="G72" s="39">
        <v>1143</v>
      </c>
      <c r="H72" s="39">
        <f>603-170</f>
        <v>433</v>
      </c>
      <c r="I72" s="39"/>
      <c r="J72" s="40"/>
      <c r="K72" s="40"/>
      <c r="L72" s="40"/>
      <c r="M72" s="40"/>
      <c r="N72" s="40"/>
      <c r="O72" s="30">
        <v>621</v>
      </c>
      <c r="P72" s="40">
        <f>ROUND(D72*O72/1000,0)</f>
        <v>1983</v>
      </c>
      <c r="Q72" s="44"/>
    </row>
    <row r="73" spans="1:17" x14ac:dyDescent="0.25">
      <c r="A73" s="23"/>
      <c r="B73" s="38" t="s">
        <v>31</v>
      </c>
      <c r="C73" s="39">
        <v>1</v>
      </c>
      <c r="D73" s="39">
        <v>130</v>
      </c>
      <c r="E73" s="21">
        <f>F73+G73+H73</f>
        <v>128</v>
      </c>
      <c r="F73" s="39">
        <v>36</v>
      </c>
      <c r="G73" s="39">
        <v>59</v>
      </c>
      <c r="H73" s="39">
        <v>33</v>
      </c>
      <c r="I73" s="39"/>
      <c r="J73" s="40"/>
      <c r="K73" s="40"/>
      <c r="L73" s="40"/>
      <c r="M73" s="40"/>
      <c r="N73" s="40"/>
      <c r="O73" s="40">
        <v>1130</v>
      </c>
      <c r="P73" s="40">
        <f>ROUND(D73*O73/1000,0)</f>
        <v>147</v>
      </c>
      <c r="Q73" s="44"/>
    </row>
    <row r="74" spans="1:17" s="16" customFormat="1" ht="18.75" customHeight="1" x14ac:dyDescent="0.2">
      <c r="A74" s="24">
        <v>20</v>
      </c>
      <c r="B74" s="25" t="s">
        <v>37</v>
      </c>
      <c r="C74" s="31">
        <f>C75+C76</f>
        <v>24</v>
      </c>
      <c r="D74" s="31">
        <f t="shared" ref="D74:H74" si="138">D75+D76</f>
        <v>718</v>
      </c>
      <c r="E74" s="31">
        <f t="shared" si="138"/>
        <v>587</v>
      </c>
      <c r="F74" s="31">
        <f t="shared" si="138"/>
        <v>211</v>
      </c>
      <c r="G74" s="31">
        <f t="shared" si="138"/>
        <v>280</v>
      </c>
      <c r="H74" s="31">
        <f t="shared" si="138"/>
        <v>96</v>
      </c>
      <c r="I74" s="31"/>
      <c r="J74" s="27">
        <f>J75+J76</f>
        <v>92840</v>
      </c>
      <c r="K74" s="27">
        <f t="shared" ref="K74:N74" si="139">K75+K76</f>
        <v>308000</v>
      </c>
      <c r="L74" s="27">
        <f t="shared" si="139"/>
        <v>147840</v>
      </c>
      <c r="M74" s="27">
        <f t="shared" si="139"/>
        <v>548680</v>
      </c>
      <c r="N74" s="27">
        <f t="shared" si="139"/>
        <v>4938</v>
      </c>
      <c r="O74" s="37"/>
      <c r="P74" s="27">
        <f t="shared" ref="P74:Q74" si="140">P75+P76</f>
        <v>811</v>
      </c>
      <c r="Q74" s="27">
        <f t="shared" si="140"/>
        <v>5749</v>
      </c>
    </row>
    <row r="75" spans="1:17" x14ac:dyDescent="0.25">
      <c r="A75" s="23"/>
      <c r="B75" s="28" t="s">
        <v>15</v>
      </c>
      <c r="C75" s="21">
        <f>C77+C78</f>
        <v>24</v>
      </c>
      <c r="D75" s="21">
        <v>718</v>
      </c>
      <c r="E75" s="21">
        <f>F75+G75+H75</f>
        <v>587</v>
      </c>
      <c r="F75" s="21">
        <f t="shared" ref="F75:G75" si="141">F77+F78</f>
        <v>211</v>
      </c>
      <c r="G75" s="21">
        <f t="shared" si="141"/>
        <v>280</v>
      </c>
      <c r="H75" s="21">
        <f>H77+H78</f>
        <v>96</v>
      </c>
      <c r="I75" s="21">
        <v>2200</v>
      </c>
      <c r="J75" s="30">
        <f>(I75*F75*0.2)</f>
        <v>92840</v>
      </c>
      <c r="K75" s="30">
        <f>(I75*G75*0.5)</f>
        <v>308000</v>
      </c>
      <c r="L75" s="30">
        <f>(I75*H75*0.7)</f>
        <v>147840</v>
      </c>
      <c r="M75" s="30">
        <f t="shared" ref="M75" si="142">J75+K75+L75</f>
        <v>548680</v>
      </c>
      <c r="N75" s="30">
        <f t="shared" ref="N75" si="143">ROUND((M75*9/1000),0)</f>
        <v>4938</v>
      </c>
      <c r="O75" s="30"/>
      <c r="P75" s="30">
        <f t="shared" ref="P75" si="144">P77+P78</f>
        <v>811</v>
      </c>
      <c r="Q75" s="30">
        <f t="shared" ref="Q75" si="145">N75+P75</f>
        <v>5749</v>
      </c>
    </row>
    <row r="76" spans="1:17" x14ac:dyDescent="0.25">
      <c r="A76" s="23"/>
      <c r="B76" s="28" t="s">
        <v>16</v>
      </c>
      <c r="C76" s="21"/>
      <c r="D76" s="21"/>
      <c r="E76" s="21"/>
      <c r="F76" s="21"/>
      <c r="G76" s="21"/>
      <c r="H76" s="29"/>
      <c r="I76" s="21"/>
      <c r="J76" s="30"/>
      <c r="K76" s="30"/>
      <c r="L76" s="30"/>
      <c r="M76" s="30"/>
      <c r="N76" s="30"/>
      <c r="O76" s="30"/>
      <c r="P76" s="30"/>
      <c r="Q76" s="37"/>
    </row>
    <row r="77" spans="1:17" x14ac:dyDescent="0.25">
      <c r="A77" s="23"/>
      <c r="B77" s="38" t="s">
        <v>30</v>
      </c>
      <c r="C77" s="39"/>
      <c r="D77" s="39"/>
      <c r="E77" s="21"/>
      <c r="F77" s="39"/>
      <c r="G77" s="39"/>
      <c r="H77" s="39"/>
      <c r="I77" s="39"/>
      <c r="J77" s="40"/>
      <c r="K77" s="40"/>
      <c r="L77" s="40"/>
      <c r="M77" s="40"/>
      <c r="N77" s="40"/>
      <c r="O77" s="40"/>
      <c r="P77" s="40"/>
      <c r="Q77" s="44"/>
    </row>
    <row r="78" spans="1:17" x14ac:dyDescent="0.25">
      <c r="A78" s="23"/>
      <c r="B78" s="38" t="s">
        <v>31</v>
      </c>
      <c r="C78" s="39">
        <v>24</v>
      </c>
      <c r="D78" s="39">
        <v>718</v>
      </c>
      <c r="E78" s="21">
        <f>F78+G78+H78</f>
        <v>587</v>
      </c>
      <c r="F78" s="39">
        <f>301-90</f>
        <v>211</v>
      </c>
      <c r="G78" s="39">
        <f>380-100</f>
        <v>280</v>
      </c>
      <c r="H78" s="39">
        <f>324-100-128</f>
        <v>96</v>
      </c>
      <c r="I78" s="39"/>
      <c r="J78" s="40"/>
      <c r="K78" s="40"/>
      <c r="L78" s="40"/>
      <c r="M78" s="40"/>
      <c r="N78" s="40"/>
      <c r="O78" s="40">
        <v>1130</v>
      </c>
      <c r="P78" s="40">
        <f>ROUND(D78*O78/1000,0)</f>
        <v>811</v>
      </c>
      <c r="Q78" s="44"/>
    </row>
    <row r="79" spans="1:17" s="16" customFormat="1" x14ac:dyDescent="0.2">
      <c r="A79" s="24">
        <v>21</v>
      </c>
      <c r="B79" s="25" t="s">
        <v>38</v>
      </c>
      <c r="C79" s="31">
        <f>C80+C81</f>
        <v>16</v>
      </c>
      <c r="D79" s="31">
        <f t="shared" ref="D79:H79" si="146">D80+D81</f>
        <v>1800</v>
      </c>
      <c r="E79" s="31">
        <f t="shared" si="146"/>
        <v>1672</v>
      </c>
      <c r="F79" s="31">
        <f t="shared" si="146"/>
        <v>916</v>
      </c>
      <c r="G79" s="31">
        <f t="shared" si="146"/>
        <v>569</v>
      </c>
      <c r="H79" s="31">
        <f t="shared" si="146"/>
        <v>187</v>
      </c>
      <c r="I79" s="31"/>
      <c r="J79" s="27">
        <f>J80+J81</f>
        <v>476320</v>
      </c>
      <c r="K79" s="27">
        <f t="shared" ref="K79:N79" si="147">K80+K81</f>
        <v>739700</v>
      </c>
      <c r="L79" s="27">
        <f t="shared" si="147"/>
        <v>340340</v>
      </c>
      <c r="M79" s="27">
        <f t="shared" si="147"/>
        <v>1556360</v>
      </c>
      <c r="N79" s="27">
        <f t="shared" si="147"/>
        <v>14007</v>
      </c>
      <c r="O79" s="37"/>
      <c r="P79" s="37">
        <f>P80+P81</f>
        <v>1317</v>
      </c>
      <c r="Q79" s="37">
        <f>Q80+Q81</f>
        <v>15324</v>
      </c>
    </row>
    <row r="80" spans="1:17" x14ac:dyDescent="0.25">
      <c r="A80" s="23"/>
      <c r="B80" s="28" t="s">
        <v>15</v>
      </c>
      <c r="C80" s="21">
        <f>C82+C83</f>
        <v>16</v>
      </c>
      <c r="D80" s="21">
        <f>D82+D83</f>
        <v>1800</v>
      </c>
      <c r="E80" s="21">
        <f t="shared" ref="E80:E83" si="148">F80+G80+H80</f>
        <v>1672</v>
      </c>
      <c r="F80" s="21">
        <f>F82+F83</f>
        <v>916</v>
      </c>
      <c r="G80" s="21">
        <f t="shared" ref="G80" si="149">G82+G83</f>
        <v>569</v>
      </c>
      <c r="H80" s="21">
        <f>H82+H83</f>
        <v>187</v>
      </c>
      <c r="I80" s="21">
        <v>2600</v>
      </c>
      <c r="J80" s="30">
        <f>(I80*F80*0.2)</f>
        <v>476320</v>
      </c>
      <c r="K80" s="30">
        <f>(I80*G80*0.5)</f>
        <v>739700</v>
      </c>
      <c r="L80" s="30">
        <f>(I80*H80*0.7)</f>
        <v>340340</v>
      </c>
      <c r="M80" s="30">
        <f t="shared" ref="M80" si="150">J80+K80+L80</f>
        <v>1556360</v>
      </c>
      <c r="N80" s="30">
        <f t="shared" ref="N80" si="151">ROUND((M80*9/1000),0)</f>
        <v>14007</v>
      </c>
      <c r="O80" s="30"/>
      <c r="P80" s="30">
        <f t="shared" ref="P80" si="152">P82+P83</f>
        <v>1317</v>
      </c>
      <c r="Q80" s="30">
        <f t="shared" ref="Q80" si="153">N80+P80</f>
        <v>15324</v>
      </c>
    </row>
    <row r="81" spans="1:17" x14ac:dyDescent="0.25">
      <c r="A81" s="23"/>
      <c r="B81" s="28" t="s">
        <v>16</v>
      </c>
      <c r="C81" s="21"/>
      <c r="D81" s="21"/>
      <c r="E81" s="21"/>
      <c r="F81" s="21"/>
      <c r="G81" s="21"/>
      <c r="H81" s="29"/>
      <c r="I81" s="21"/>
      <c r="J81" s="30"/>
      <c r="K81" s="30"/>
      <c r="L81" s="30"/>
      <c r="M81" s="30"/>
      <c r="N81" s="30"/>
      <c r="O81" s="30"/>
      <c r="P81" s="30"/>
      <c r="Q81" s="37"/>
    </row>
    <row r="82" spans="1:17" x14ac:dyDescent="0.25">
      <c r="A82" s="23"/>
      <c r="B82" s="38" t="s">
        <v>30</v>
      </c>
      <c r="C82" s="39">
        <v>5</v>
      </c>
      <c r="D82" s="41">
        <v>1408</v>
      </c>
      <c r="E82" s="21">
        <f t="shared" si="148"/>
        <v>1283</v>
      </c>
      <c r="F82" s="39">
        <f>462+350</f>
        <v>812</v>
      </c>
      <c r="G82" s="39">
        <v>378</v>
      </c>
      <c r="H82" s="39">
        <f>213-120</f>
        <v>93</v>
      </c>
      <c r="I82" s="35"/>
      <c r="J82" s="40"/>
      <c r="K82" s="40"/>
      <c r="L82" s="40"/>
      <c r="M82" s="40"/>
      <c r="N82" s="40"/>
      <c r="O82" s="30">
        <v>621</v>
      </c>
      <c r="P82" s="40">
        <f>ROUND(D82*O82/1000,0)</f>
        <v>874</v>
      </c>
      <c r="Q82" s="44"/>
    </row>
    <row r="83" spans="1:17" x14ac:dyDescent="0.25">
      <c r="A83" s="23"/>
      <c r="B83" s="38" t="s">
        <v>31</v>
      </c>
      <c r="C83" s="39">
        <v>11</v>
      </c>
      <c r="D83" s="41">
        <v>392</v>
      </c>
      <c r="E83" s="21">
        <f t="shared" si="148"/>
        <v>389</v>
      </c>
      <c r="F83" s="39">
        <f>209-105</f>
        <v>104</v>
      </c>
      <c r="G83" s="39">
        <f>341-150</f>
        <v>191</v>
      </c>
      <c r="H83" s="39">
        <f>144-50</f>
        <v>94</v>
      </c>
      <c r="I83" s="35"/>
      <c r="J83" s="40"/>
      <c r="K83" s="40"/>
      <c r="L83" s="40"/>
      <c r="M83" s="40"/>
      <c r="N83" s="40"/>
      <c r="O83" s="40">
        <v>1130</v>
      </c>
      <c r="P83" s="40">
        <f>ROUND(D83*O83/1000,0)</f>
        <v>443</v>
      </c>
      <c r="Q83" s="44"/>
    </row>
    <row r="84" spans="1:17" s="16" customFormat="1" x14ac:dyDescent="0.2">
      <c r="A84" s="24">
        <v>22</v>
      </c>
      <c r="B84" s="25" t="s">
        <v>39</v>
      </c>
      <c r="C84" s="31">
        <f>C85+C86</f>
        <v>18</v>
      </c>
      <c r="D84" s="31">
        <f t="shared" ref="D84:H84" si="154">D85+D86</f>
        <v>2162</v>
      </c>
      <c r="E84" s="31">
        <f t="shared" si="154"/>
        <v>1955</v>
      </c>
      <c r="F84" s="31">
        <f t="shared" si="154"/>
        <v>676</v>
      </c>
      <c r="G84" s="31">
        <f t="shared" si="154"/>
        <v>1009</v>
      </c>
      <c r="H84" s="31">
        <f t="shared" si="154"/>
        <v>270</v>
      </c>
      <c r="I84" s="31"/>
      <c r="J84" s="27">
        <f>J85+J86</f>
        <v>369096</v>
      </c>
      <c r="K84" s="27">
        <f t="shared" ref="K84:N84" si="155">K85+K86</f>
        <v>1377285</v>
      </c>
      <c r="L84" s="27">
        <f t="shared" si="155"/>
        <v>515969.99999999994</v>
      </c>
      <c r="M84" s="27">
        <f t="shared" si="155"/>
        <v>2262351</v>
      </c>
      <c r="N84" s="27">
        <f t="shared" si="155"/>
        <v>20361</v>
      </c>
      <c r="O84" s="37"/>
      <c r="P84" s="27">
        <f t="shared" ref="P84:Q84" si="156">P85+P86</f>
        <v>1770</v>
      </c>
      <c r="Q84" s="27">
        <f t="shared" si="156"/>
        <v>22131</v>
      </c>
    </row>
    <row r="85" spans="1:17" x14ac:dyDescent="0.25">
      <c r="A85" s="23"/>
      <c r="B85" s="28" t="s">
        <v>15</v>
      </c>
      <c r="C85" s="21">
        <f>C87+C88</f>
        <v>18</v>
      </c>
      <c r="D85" s="21">
        <f>D87+D88</f>
        <v>2162</v>
      </c>
      <c r="E85" s="21">
        <f t="shared" ref="E85:E88" si="157">F85+G85+H85</f>
        <v>1955</v>
      </c>
      <c r="F85" s="21">
        <f>F87+F88</f>
        <v>676</v>
      </c>
      <c r="G85" s="21">
        <f t="shared" ref="G85" si="158">G87+G88</f>
        <v>1009</v>
      </c>
      <c r="H85" s="21">
        <f>H87+H88</f>
        <v>270</v>
      </c>
      <c r="I85" s="21">
        <v>2730</v>
      </c>
      <c r="J85" s="30">
        <f>(I85*F85*0.2)</f>
        <v>369096</v>
      </c>
      <c r="K85" s="30">
        <f>(I85*G85*0.5)</f>
        <v>1377285</v>
      </c>
      <c r="L85" s="30">
        <f>(I85*H85*0.7)</f>
        <v>515969.99999999994</v>
      </c>
      <c r="M85" s="30">
        <f t="shared" ref="M85" si="159">J85+K85+L85</f>
        <v>2262351</v>
      </c>
      <c r="N85" s="30">
        <f t="shared" ref="N85" si="160">ROUND((M85*9/1000),0)</f>
        <v>20361</v>
      </c>
      <c r="O85" s="30"/>
      <c r="P85" s="30">
        <f t="shared" ref="P85" si="161">P87+P88</f>
        <v>1770</v>
      </c>
      <c r="Q85" s="30">
        <f t="shared" ref="Q85" si="162">N85+P85</f>
        <v>22131</v>
      </c>
    </row>
    <row r="86" spans="1:17" x14ac:dyDescent="0.25">
      <c r="A86" s="23"/>
      <c r="B86" s="28" t="s">
        <v>16</v>
      </c>
      <c r="C86" s="21"/>
      <c r="D86" s="21"/>
      <c r="E86" s="21"/>
      <c r="F86" s="21"/>
      <c r="G86" s="21"/>
      <c r="H86" s="29"/>
      <c r="I86" s="21"/>
      <c r="J86" s="30"/>
      <c r="K86" s="30"/>
      <c r="L86" s="30"/>
      <c r="M86" s="30"/>
      <c r="N86" s="30"/>
      <c r="O86" s="30"/>
      <c r="P86" s="30"/>
      <c r="Q86" s="37"/>
    </row>
    <row r="87" spans="1:17" x14ac:dyDescent="0.25">
      <c r="A87" s="23"/>
      <c r="B87" s="38" t="s">
        <v>30</v>
      </c>
      <c r="C87" s="39">
        <v>7</v>
      </c>
      <c r="D87" s="39">
        <v>1321</v>
      </c>
      <c r="E87" s="21">
        <f t="shared" si="157"/>
        <v>1167</v>
      </c>
      <c r="F87" s="39">
        <f>546-110</f>
        <v>436</v>
      </c>
      <c r="G87" s="39">
        <v>602</v>
      </c>
      <c r="H87" s="39">
        <f>279-150</f>
        <v>129</v>
      </c>
      <c r="I87" s="39"/>
      <c r="J87" s="40"/>
      <c r="K87" s="40"/>
      <c r="L87" s="40"/>
      <c r="M87" s="40"/>
      <c r="N87" s="40"/>
      <c r="O87" s="30">
        <v>621</v>
      </c>
      <c r="P87" s="40">
        <f>ROUND(D87*O87/1000,0)</f>
        <v>820</v>
      </c>
      <c r="Q87" s="44"/>
    </row>
    <row r="88" spans="1:17" x14ac:dyDescent="0.25">
      <c r="A88" s="23"/>
      <c r="B88" s="38" t="s">
        <v>31</v>
      </c>
      <c r="C88" s="39">
        <v>11</v>
      </c>
      <c r="D88" s="39">
        <v>841</v>
      </c>
      <c r="E88" s="21">
        <f t="shared" si="157"/>
        <v>788</v>
      </c>
      <c r="F88" s="39">
        <f>315-75</f>
        <v>240</v>
      </c>
      <c r="G88" s="39">
        <v>407</v>
      </c>
      <c r="H88" s="39">
        <f>191-50</f>
        <v>141</v>
      </c>
      <c r="I88" s="39"/>
      <c r="J88" s="40"/>
      <c r="K88" s="40"/>
      <c r="L88" s="40"/>
      <c r="M88" s="40"/>
      <c r="N88" s="40"/>
      <c r="O88" s="40">
        <v>1130</v>
      </c>
      <c r="P88" s="40">
        <f>ROUND(D88*O88/1000,0)</f>
        <v>950</v>
      </c>
      <c r="Q88" s="44"/>
    </row>
    <row r="89" spans="1:17" s="16" customFormat="1" ht="20.25" customHeight="1" x14ac:dyDescent="0.2">
      <c r="A89" s="24"/>
      <c r="B89" s="42" t="s">
        <v>40</v>
      </c>
      <c r="C89" s="31">
        <f>C5+C8+C11+C14+C17+C20+C23+C26+C29+C32+C35+C38+C41+C44+C49+C54+C59+C64+C69+C74+C79+C84</f>
        <v>410</v>
      </c>
      <c r="D89" s="31">
        <f>D5+D8+D11+D14+D17+D20+D23+D26+D29+D32+D35+D38+D41+D44+D49+D54+D59+D64+D69+D74+D79+D84</f>
        <v>119526</v>
      </c>
      <c r="E89" s="31">
        <f t="shared" ref="E89:H89" si="163">E5+E8+E11+E14+E17+E20+E23+E26+E29+E32+E35+E38+E41+E44+E49+E54+E59+E64+E69+E74+E79+E84</f>
        <v>100732</v>
      </c>
      <c r="F89" s="31">
        <f t="shared" si="163"/>
        <v>45473</v>
      </c>
      <c r="G89" s="31">
        <f t="shared" si="163"/>
        <v>44067</v>
      </c>
      <c r="H89" s="31">
        <f t="shared" si="163"/>
        <v>11192</v>
      </c>
      <c r="I89" s="31"/>
      <c r="J89" s="32">
        <f t="shared" ref="J89:Q89" si="164">J5+J8+J11+J14+J17+J20+J23+J26+J29+J32+J35+J38+J41+J44+J49+J54+J59+J64+J69+J74+J79+J84</f>
        <v>28325097.399999999</v>
      </c>
      <c r="K89" s="32">
        <f t="shared" si="164"/>
        <v>67522950.5</v>
      </c>
      <c r="L89" s="32">
        <f t="shared" si="164"/>
        <v>24192254.799999997</v>
      </c>
      <c r="M89" s="32">
        <f t="shared" si="164"/>
        <v>120040302.70000003</v>
      </c>
      <c r="N89" s="32">
        <f t="shared" si="164"/>
        <v>1080365.3999999999</v>
      </c>
      <c r="O89" s="31"/>
      <c r="P89" s="32">
        <f t="shared" si="164"/>
        <v>77802</v>
      </c>
      <c r="Q89" s="32">
        <f t="shared" si="164"/>
        <v>1158167.3999999999</v>
      </c>
    </row>
    <row r="90" spans="1:17" ht="15.75" customHeight="1" x14ac:dyDescent="0.25">
      <c r="A90" s="47" t="s">
        <v>41</v>
      </c>
      <c r="B90" s="47"/>
      <c r="C90" s="6">
        <f>C7+C10+C13+C16+C19+C22+C25+C28+C31+C34+C37+C40+C43+C46+C51+C56+C61+C66+C71+C76+C81+C86</f>
        <v>26</v>
      </c>
      <c r="D90" s="6">
        <f t="shared" ref="D90:H90" si="165">D7+D10+D13+D16+D19+D22+D25+D28+D31+D34+D37+D40+D43+D46+D51+D56+D61+D66+D71+D76+D81+D86</f>
        <v>3775</v>
      </c>
      <c r="E90" s="6">
        <f t="shared" si="165"/>
        <v>3096</v>
      </c>
      <c r="F90" s="6">
        <f t="shared" si="165"/>
        <v>1487</v>
      </c>
      <c r="G90" s="6">
        <f t="shared" si="165"/>
        <v>1367</v>
      </c>
      <c r="H90" s="6">
        <f t="shared" si="165"/>
        <v>242</v>
      </c>
      <c r="I90" s="6">
        <v>2082</v>
      </c>
      <c r="J90" s="12">
        <f t="shared" ref="J90:N90" si="166">J7+J10+J13+J16+J19+J22+J25+J28+J31+J34+J37+J40+J43+J46+J51+J56+J61+J66+J71+J76+J81+J86</f>
        <v>619186.80000000005</v>
      </c>
      <c r="K90" s="12">
        <f t="shared" si="166"/>
        <v>1423047</v>
      </c>
      <c r="L90" s="12">
        <f t="shared" si="166"/>
        <v>352690.8</v>
      </c>
      <c r="M90" s="12">
        <f t="shared" si="166"/>
        <v>2394924.6</v>
      </c>
      <c r="N90" s="12">
        <f t="shared" si="166"/>
        <v>21555</v>
      </c>
      <c r="O90" s="12"/>
      <c r="P90" s="12">
        <f t="shared" ref="P90:Q90" si="167">P7+P10+P13+P16+P19+P22+P25+P28+P31+P34+P37+P40+P43+P46+P51+P56+P61+P66+P71+P76+P81+P86</f>
        <v>2405</v>
      </c>
      <c r="Q90" s="12">
        <f t="shared" si="167"/>
        <v>23960</v>
      </c>
    </row>
    <row r="91" spans="1:17" x14ac:dyDescent="0.25">
      <c r="A91" s="13"/>
      <c r="B91" s="13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</row>
    <row r="92" spans="1:17" x14ac:dyDescent="0.25">
      <c r="A92" s="15"/>
      <c r="B92" s="15"/>
      <c r="C92" s="15"/>
      <c r="D92" s="15"/>
      <c r="E92" s="8"/>
      <c r="N92" s="15"/>
      <c r="Q92" s="17"/>
    </row>
    <row r="95" spans="1:17" x14ac:dyDescent="0.25">
      <c r="A95" s="15"/>
      <c r="B95" s="15"/>
      <c r="C95" s="15"/>
    </row>
    <row r="96" spans="1:17" x14ac:dyDescent="0.25">
      <c r="A96" s="15"/>
      <c r="B96" s="15"/>
      <c r="C96" s="15"/>
      <c r="D96" s="9"/>
    </row>
  </sheetData>
  <mergeCells count="15">
    <mergeCell ref="Q2:Q3"/>
    <mergeCell ref="A90:B90"/>
    <mergeCell ref="A1:Q1"/>
    <mergeCell ref="A2:A3"/>
    <mergeCell ref="B2:B3"/>
    <mergeCell ref="C2:C3"/>
    <mergeCell ref="D2:D3"/>
    <mergeCell ref="E2:E3"/>
    <mergeCell ref="F2:H2"/>
    <mergeCell ref="I2:I3"/>
    <mergeCell ref="J2:L2"/>
    <mergeCell ref="M2:M3"/>
    <mergeCell ref="N2:N3"/>
    <mergeCell ref="O2:O3"/>
    <mergeCell ref="P2:P3"/>
  </mergeCells>
  <pageMargins left="0.11811023622047245" right="0.11811023622047245" top="0.34" bottom="0.15748031496062992" header="0.17" footer="0.19685039370078741"/>
  <pageSetup paperSize="9" scale="37" firstPageNumber="2411" orientation="landscape" useFirstPageNumber="1" r:id="rId1"/>
  <headerFooter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tabSelected="1" topLeftCell="H67" zoomScale="90" zoomScaleNormal="90" zoomScaleSheetLayoutView="90" workbookViewId="0">
      <selection activeCell="M90" sqref="M90"/>
    </sheetView>
  </sheetViews>
  <sheetFormatPr defaultRowHeight="15.75" x14ac:dyDescent="0.25"/>
  <cols>
    <col min="1" max="1" width="6" style="10" customWidth="1"/>
    <col min="2" max="2" width="27.140625" style="5" customWidth="1"/>
    <col min="3" max="3" width="26.42578125" style="1" customWidth="1"/>
    <col min="4" max="4" width="26.5703125" style="2" customWidth="1"/>
    <col min="5" max="5" width="29.42578125" style="2" customWidth="1"/>
    <col min="6" max="6" width="20.42578125" style="3" customWidth="1"/>
    <col min="7" max="7" width="21.85546875" style="3" customWidth="1"/>
    <col min="8" max="8" width="21.5703125" style="3" customWidth="1"/>
    <col min="9" max="9" width="25.28515625" style="3" customWidth="1"/>
    <col min="10" max="10" width="17" style="4" customWidth="1"/>
    <col min="11" max="11" width="16.5703125" style="4" customWidth="1"/>
    <col min="12" max="12" width="17.28515625" style="4" customWidth="1"/>
    <col min="13" max="13" width="21.28515625" style="4" customWidth="1"/>
    <col min="14" max="14" width="27.28515625" style="7" customWidth="1"/>
    <col min="15" max="15" width="25.5703125" style="15" customWidth="1"/>
    <col min="16" max="16" width="29.5703125" style="15" customWidth="1"/>
    <col min="17" max="17" width="25.28515625" style="15" customWidth="1"/>
    <col min="18" max="239" width="9.140625" style="15"/>
    <col min="240" max="240" width="7.7109375" style="15" customWidth="1"/>
    <col min="241" max="241" width="31.5703125" style="15" customWidth="1"/>
    <col min="242" max="242" width="24" style="15" customWidth="1"/>
    <col min="243" max="243" width="22.140625" style="15" customWidth="1"/>
    <col min="244" max="244" width="21.28515625" style="15" customWidth="1"/>
    <col min="245" max="245" width="20.7109375" style="15" customWidth="1"/>
    <col min="246" max="246" width="11.7109375" style="15" customWidth="1"/>
    <col min="247" max="247" width="12" style="15" customWidth="1"/>
    <col min="248" max="248" width="11.7109375" style="15" customWidth="1"/>
    <col min="249" max="249" width="25.28515625" style="15" customWidth="1"/>
    <col min="250" max="250" width="15.28515625" style="15" customWidth="1"/>
    <col min="251" max="251" width="14.5703125" style="15" customWidth="1"/>
    <col min="252" max="252" width="15.140625" style="15" customWidth="1"/>
    <col min="253" max="253" width="21.28515625" style="15" customWidth="1"/>
    <col min="254" max="254" width="18.7109375" style="15" customWidth="1"/>
    <col min="255" max="255" width="20.85546875" style="15" customWidth="1"/>
    <col min="256" max="256" width="20.5703125" style="15" customWidth="1"/>
    <col min="257" max="257" width="19.7109375" style="15" customWidth="1"/>
    <col min="258" max="258" width="18.28515625" style="15" customWidth="1"/>
    <col min="259" max="495" width="9.140625" style="15"/>
    <col min="496" max="496" width="7.7109375" style="15" customWidth="1"/>
    <col min="497" max="497" width="31.5703125" style="15" customWidth="1"/>
    <col min="498" max="498" width="24" style="15" customWidth="1"/>
    <col min="499" max="499" width="22.140625" style="15" customWidth="1"/>
    <col min="500" max="500" width="21.28515625" style="15" customWidth="1"/>
    <col min="501" max="501" width="20.7109375" style="15" customWidth="1"/>
    <col min="502" max="502" width="11.7109375" style="15" customWidth="1"/>
    <col min="503" max="503" width="12" style="15" customWidth="1"/>
    <col min="504" max="504" width="11.7109375" style="15" customWidth="1"/>
    <col min="505" max="505" width="25.28515625" style="15" customWidth="1"/>
    <col min="506" max="506" width="15.28515625" style="15" customWidth="1"/>
    <col min="507" max="507" width="14.5703125" style="15" customWidth="1"/>
    <col min="508" max="508" width="15.140625" style="15" customWidth="1"/>
    <col min="509" max="509" width="21.28515625" style="15" customWidth="1"/>
    <col min="510" max="510" width="18.7109375" style="15" customWidth="1"/>
    <col min="511" max="511" width="20.85546875" style="15" customWidth="1"/>
    <col min="512" max="512" width="20.5703125" style="15" customWidth="1"/>
    <col min="513" max="513" width="19.7109375" style="15" customWidth="1"/>
    <col min="514" max="514" width="18.28515625" style="15" customWidth="1"/>
    <col min="515" max="751" width="9.140625" style="15"/>
    <col min="752" max="752" width="7.7109375" style="15" customWidth="1"/>
    <col min="753" max="753" width="31.5703125" style="15" customWidth="1"/>
    <col min="754" max="754" width="24" style="15" customWidth="1"/>
    <col min="755" max="755" width="22.140625" style="15" customWidth="1"/>
    <col min="756" max="756" width="21.28515625" style="15" customWidth="1"/>
    <col min="757" max="757" width="20.7109375" style="15" customWidth="1"/>
    <col min="758" max="758" width="11.7109375" style="15" customWidth="1"/>
    <col min="759" max="759" width="12" style="15" customWidth="1"/>
    <col min="760" max="760" width="11.7109375" style="15" customWidth="1"/>
    <col min="761" max="761" width="25.28515625" style="15" customWidth="1"/>
    <col min="762" max="762" width="15.28515625" style="15" customWidth="1"/>
    <col min="763" max="763" width="14.5703125" style="15" customWidth="1"/>
    <col min="764" max="764" width="15.140625" style="15" customWidth="1"/>
    <col min="765" max="765" width="21.28515625" style="15" customWidth="1"/>
    <col min="766" max="766" width="18.7109375" style="15" customWidth="1"/>
    <col min="767" max="767" width="20.85546875" style="15" customWidth="1"/>
    <col min="768" max="768" width="20.5703125" style="15" customWidth="1"/>
    <col min="769" max="769" width="19.7109375" style="15" customWidth="1"/>
    <col min="770" max="770" width="18.28515625" style="15" customWidth="1"/>
    <col min="771" max="1007" width="9.140625" style="15"/>
    <col min="1008" max="1008" width="7.7109375" style="15" customWidth="1"/>
    <col min="1009" max="1009" width="31.5703125" style="15" customWidth="1"/>
    <col min="1010" max="1010" width="24" style="15" customWidth="1"/>
    <col min="1011" max="1011" width="22.140625" style="15" customWidth="1"/>
    <col min="1012" max="1012" width="21.28515625" style="15" customWidth="1"/>
    <col min="1013" max="1013" width="20.7109375" style="15" customWidth="1"/>
    <col min="1014" max="1014" width="11.7109375" style="15" customWidth="1"/>
    <col min="1015" max="1015" width="12" style="15" customWidth="1"/>
    <col min="1016" max="1016" width="11.7109375" style="15" customWidth="1"/>
    <col min="1017" max="1017" width="25.28515625" style="15" customWidth="1"/>
    <col min="1018" max="1018" width="15.28515625" style="15" customWidth="1"/>
    <col min="1019" max="1019" width="14.5703125" style="15" customWidth="1"/>
    <col min="1020" max="1020" width="15.140625" style="15" customWidth="1"/>
    <col min="1021" max="1021" width="21.28515625" style="15" customWidth="1"/>
    <col min="1022" max="1022" width="18.7109375" style="15" customWidth="1"/>
    <col min="1023" max="1023" width="20.85546875" style="15" customWidth="1"/>
    <col min="1024" max="1024" width="20.5703125" style="15" customWidth="1"/>
    <col min="1025" max="1025" width="19.7109375" style="15" customWidth="1"/>
    <col min="1026" max="1026" width="18.28515625" style="15" customWidth="1"/>
    <col min="1027" max="1263" width="9.140625" style="15"/>
    <col min="1264" max="1264" width="7.7109375" style="15" customWidth="1"/>
    <col min="1265" max="1265" width="31.5703125" style="15" customWidth="1"/>
    <col min="1266" max="1266" width="24" style="15" customWidth="1"/>
    <col min="1267" max="1267" width="22.140625" style="15" customWidth="1"/>
    <col min="1268" max="1268" width="21.28515625" style="15" customWidth="1"/>
    <col min="1269" max="1269" width="20.7109375" style="15" customWidth="1"/>
    <col min="1270" max="1270" width="11.7109375" style="15" customWidth="1"/>
    <col min="1271" max="1271" width="12" style="15" customWidth="1"/>
    <col min="1272" max="1272" width="11.7109375" style="15" customWidth="1"/>
    <col min="1273" max="1273" width="25.28515625" style="15" customWidth="1"/>
    <col min="1274" max="1274" width="15.28515625" style="15" customWidth="1"/>
    <col min="1275" max="1275" width="14.5703125" style="15" customWidth="1"/>
    <col min="1276" max="1276" width="15.140625" style="15" customWidth="1"/>
    <col min="1277" max="1277" width="21.28515625" style="15" customWidth="1"/>
    <col min="1278" max="1278" width="18.7109375" style="15" customWidth="1"/>
    <col min="1279" max="1279" width="20.85546875" style="15" customWidth="1"/>
    <col min="1280" max="1280" width="20.5703125" style="15" customWidth="1"/>
    <col min="1281" max="1281" width="19.7109375" style="15" customWidth="1"/>
    <col min="1282" max="1282" width="18.28515625" style="15" customWidth="1"/>
    <col min="1283" max="1519" width="9.140625" style="15"/>
    <col min="1520" max="1520" width="7.7109375" style="15" customWidth="1"/>
    <col min="1521" max="1521" width="31.5703125" style="15" customWidth="1"/>
    <col min="1522" max="1522" width="24" style="15" customWidth="1"/>
    <col min="1523" max="1523" width="22.140625" style="15" customWidth="1"/>
    <col min="1524" max="1524" width="21.28515625" style="15" customWidth="1"/>
    <col min="1525" max="1525" width="20.7109375" style="15" customWidth="1"/>
    <col min="1526" max="1526" width="11.7109375" style="15" customWidth="1"/>
    <col min="1527" max="1527" width="12" style="15" customWidth="1"/>
    <col min="1528" max="1528" width="11.7109375" style="15" customWidth="1"/>
    <col min="1529" max="1529" width="25.28515625" style="15" customWidth="1"/>
    <col min="1530" max="1530" width="15.28515625" style="15" customWidth="1"/>
    <col min="1531" max="1531" width="14.5703125" style="15" customWidth="1"/>
    <col min="1532" max="1532" width="15.140625" style="15" customWidth="1"/>
    <col min="1533" max="1533" width="21.28515625" style="15" customWidth="1"/>
    <col min="1534" max="1534" width="18.7109375" style="15" customWidth="1"/>
    <col min="1535" max="1535" width="20.85546875" style="15" customWidth="1"/>
    <col min="1536" max="1536" width="20.5703125" style="15" customWidth="1"/>
    <col min="1537" max="1537" width="19.7109375" style="15" customWidth="1"/>
    <col min="1538" max="1538" width="18.28515625" style="15" customWidth="1"/>
    <col min="1539" max="1775" width="9.140625" style="15"/>
    <col min="1776" max="1776" width="7.7109375" style="15" customWidth="1"/>
    <col min="1777" max="1777" width="31.5703125" style="15" customWidth="1"/>
    <col min="1778" max="1778" width="24" style="15" customWidth="1"/>
    <col min="1779" max="1779" width="22.140625" style="15" customWidth="1"/>
    <col min="1780" max="1780" width="21.28515625" style="15" customWidth="1"/>
    <col min="1781" max="1781" width="20.7109375" style="15" customWidth="1"/>
    <col min="1782" max="1782" width="11.7109375" style="15" customWidth="1"/>
    <col min="1783" max="1783" width="12" style="15" customWidth="1"/>
    <col min="1784" max="1784" width="11.7109375" style="15" customWidth="1"/>
    <col min="1785" max="1785" width="25.28515625" style="15" customWidth="1"/>
    <col min="1786" max="1786" width="15.28515625" style="15" customWidth="1"/>
    <col min="1787" max="1787" width="14.5703125" style="15" customWidth="1"/>
    <col min="1788" max="1788" width="15.140625" style="15" customWidth="1"/>
    <col min="1789" max="1789" width="21.28515625" style="15" customWidth="1"/>
    <col min="1790" max="1790" width="18.7109375" style="15" customWidth="1"/>
    <col min="1791" max="1791" width="20.85546875" style="15" customWidth="1"/>
    <col min="1792" max="1792" width="20.5703125" style="15" customWidth="1"/>
    <col min="1793" max="1793" width="19.7109375" style="15" customWidth="1"/>
    <col min="1794" max="1794" width="18.28515625" style="15" customWidth="1"/>
    <col min="1795" max="2031" width="9.140625" style="15"/>
    <col min="2032" max="2032" width="7.7109375" style="15" customWidth="1"/>
    <col min="2033" max="2033" width="31.5703125" style="15" customWidth="1"/>
    <col min="2034" max="2034" width="24" style="15" customWidth="1"/>
    <col min="2035" max="2035" width="22.140625" style="15" customWidth="1"/>
    <col min="2036" max="2036" width="21.28515625" style="15" customWidth="1"/>
    <col min="2037" max="2037" width="20.7109375" style="15" customWidth="1"/>
    <col min="2038" max="2038" width="11.7109375" style="15" customWidth="1"/>
    <col min="2039" max="2039" width="12" style="15" customWidth="1"/>
    <col min="2040" max="2040" width="11.7109375" style="15" customWidth="1"/>
    <col min="2041" max="2041" width="25.28515625" style="15" customWidth="1"/>
    <col min="2042" max="2042" width="15.28515625" style="15" customWidth="1"/>
    <col min="2043" max="2043" width="14.5703125" style="15" customWidth="1"/>
    <col min="2044" max="2044" width="15.140625" style="15" customWidth="1"/>
    <col min="2045" max="2045" width="21.28515625" style="15" customWidth="1"/>
    <col min="2046" max="2046" width="18.7109375" style="15" customWidth="1"/>
    <col min="2047" max="2047" width="20.85546875" style="15" customWidth="1"/>
    <col min="2048" max="2048" width="20.5703125" style="15" customWidth="1"/>
    <col min="2049" max="2049" width="19.7109375" style="15" customWidth="1"/>
    <col min="2050" max="2050" width="18.28515625" style="15" customWidth="1"/>
    <col min="2051" max="2287" width="9.140625" style="15"/>
    <col min="2288" max="2288" width="7.7109375" style="15" customWidth="1"/>
    <col min="2289" max="2289" width="31.5703125" style="15" customWidth="1"/>
    <col min="2290" max="2290" width="24" style="15" customWidth="1"/>
    <col min="2291" max="2291" width="22.140625" style="15" customWidth="1"/>
    <col min="2292" max="2292" width="21.28515625" style="15" customWidth="1"/>
    <col min="2293" max="2293" width="20.7109375" style="15" customWidth="1"/>
    <col min="2294" max="2294" width="11.7109375" style="15" customWidth="1"/>
    <col min="2295" max="2295" width="12" style="15" customWidth="1"/>
    <col min="2296" max="2296" width="11.7109375" style="15" customWidth="1"/>
    <col min="2297" max="2297" width="25.28515625" style="15" customWidth="1"/>
    <col min="2298" max="2298" width="15.28515625" style="15" customWidth="1"/>
    <col min="2299" max="2299" width="14.5703125" style="15" customWidth="1"/>
    <col min="2300" max="2300" width="15.140625" style="15" customWidth="1"/>
    <col min="2301" max="2301" width="21.28515625" style="15" customWidth="1"/>
    <col min="2302" max="2302" width="18.7109375" style="15" customWidth="1"/>
    <col min="2303" max="2303" width="20.85546875" style="15" customWidth="1"/>
    <col min="2304" max="2304" width="20.5703125" style="15" customWidth="1"/>
    <col min="2305" max="2305" width="19.7109375" style="15" customWidth="1"/>
    <col min="2306" max="2306" width="18.28515625" style="15" customWidth="1"/>
    <col min="2307" max="2543" width="9.140625" style="15"/>
    <col min="2544" max="2544" width="7.7109375" style="15" customWidth="1"/>
    <col min="2545" max="2545" width="31.5703125" style="15" customWidth="1"/>
    <col min="2546" max="2546" width="24" style="15" customWidth="1"/>
    <col min="2547" max="2547" width="22.140625" style="15" customWidth="1"/>
    <col min="2548" max="2548" width="21.28515625" style="15" customWidth="1"/>
    <col min="2549" max="2549" width="20.7109375" style="15" customWidth="1"/>
    <col min="2550" max="2550" width="11.7109375" style="15" customWidth="1"/>
    <col min="2551" max="2551" width="12" style="15" customWidth="1"/>
    <col min="2552" max="2552" width="11.7109375" style="15" customWidth="1"/>
    <col min="2553" max="2553" width="25.28515625" style="15" customWidth="1"/>
    <col min="2554" max="2554" width="15.28515625" style="15" customWidth="1"/>
    <col min="2555" max="2555" width="14.5703125" style="15" customWidth="1"/>
    <col min="2556" max="2556" width="15.140625" style="15" customWidth="1"/>
    <col min="2557" max="2557" width="21.28515625" style="15" customWidth="1"/>
    <col min="2558" max="2558" width="18.7109375" style="15" customWidth="1"/>
    <col min="2559" max="2559" width="20.85546875" style="15" customWidth="1"/>
    <col min="2560" max="2560" width="20.5703125" style="15" customWidth="1"/>
    <col min="2561" max="2561" width="19.7109375" style="15" customWidth="1"/>
    <col min="2562" max="2562" width="18.28515625" style="15" customWidth="1"/>
    <col min="2563" max="2799" width="9.140625" style="15"/>
    <col min="2800" max="2800" width="7.7109375" style="15" customWidth="1"/>
    <col min="2801" max="2801" width="31.5703125" style="15" customWidth="1"/>
    <col min="2802" max="2802" width="24" style="15" customWidth="1"/>
    <col min="2803" max="2803" width="22.140625" style="15" customWidth="1"/>
    <col min="2804" max="2804" width="21.28515625" style="15" customWidth="1"/>
    <col min="2805" max="2805" width="20.7109375" style="15" customWidth="1"/>
    <col min="2806" max="2806" width="11.7109375" style="15" customWidth="1"/>
    <col min="2807" max="2807" width="12" style="15" customWidth="1"/>
    <col min="2808" max="2808" width="11.7109375" style="15" customWidth="1"/>
    <col min="2809" max="2809" width="25.28515625" style="15" customWidth="1"/>
    <col min="2810" max="2810" width="15.28515625" style="15" customWidth="1"/>
    <col min="2811" max="2811" width="14.5703125" style="15" customWidth="1"/>
    <col min="2812" max="2812" width="15.140625" style="15" customWidth="1"/>
    <col min="2813" max="2813" width="21.28515625" style="15" customWidth="1"/>
    <col min="2814" max="2814" width="18.7109375" style="15" customWidth="1"/>
    <col min="2815" max="2815" width="20.85546875" style="15" customWidth="1"/>
    <col min="2816" max="2816" width="20.5703125" style="15" customWidth="1"/>
    <col min="2817" max="2817" width="19.7109375" style="15" customWidth="1"/>
    <col min="2818" max="2818" width="18.28515625" style="15" customWidth="1"/>
    <col min="2819" max="3055" width="9.140625" style="15"/>
    <col min="3056" max="3056" width="7.7109375" style="15" customWidth="1"/>
    <col min="3057" max="3057" width="31.5703125" style="15" customWidth="1"/>
    <col min="3058" max="3058" width="24" style="15" customWidth="1"/>
    <col min="3059" max="3059" width="22.140625" style="15" customWidth="1"/>
    <col min="3060" max="3060" width="21.28515625" style="15" customWidth="1"/>
    <col min="3061" max="3061" width="20.7109375" style="15" customWidth="1"/>
    <col min="3062" max="3062" width="11.7109375" style="15" customWidth="1"/>
    <col min="3063" max="3063" width="12" style="15" customWidth="1"/>
    <col min="3064" max="3064" width="11.7109375" style="15" customWidth="1"/>
    <col min="3065" max="3065" width="25.28515625" style="15" customWidth="1"/>
    <col min="3066" max="3066" width="15.28515625" style="15" customWidth="1"/>
    <col min="3067" max="3067" width="14.5703125" style="15" customWidth="1"/>
    <col min="3068" max="3068" width="15.140625" style="15" customWidth="1"/>
    <col min="3069" max="3069" width="21.28515625" style="15" customWidth="1"/>
    <col min="3070" max="3070" width="18.7109375" style="15" customWidth="1"/>
    <col min="3071" max="3071" width="20.85546875" style="15" customWidth="1"/>
    <col min="3072" max="3072" width="20.5703125" style="15" customWidth="1"/>
    <col min="3073" max="3073" width="19.7109375" style="15" customWidth="1"/>
    <col min="3074" max="3074" width="18.28515625" style="15" customWidth="1"/>
    <col min="3075" max="3311" width="9.140625" style="15"/>
    <col min="3312" max="3312" width="7.7109375" style="15" customWidth="1"/>
    <col min="3313" max="3313" width="31.5703125" style="15" customWidth="1"/>
    <col min="3314" max="3314" width="24" style="15" customWidth="1"/>
    <col min="3315" max="3315" width="22.140625" style="15" customWidth="1"/>
    <col min="3316" max="3316" width="21.28515625" style="15" customWidth="1"/>
    <col min="3317" max="3317" width="20.7109375" style="15" customWidth="1"/>
    <col min="3318" max="3318" width="11.7109375" style="15" customWidth="1"/>
    <col min="3319" max="3319" width="12" style="15" customWidth="1"/>
    <col min="3320" max="3320" width="11.7109375" style="15" customWidth="1"/>
    <col min="3321" max="3321" width="25.28515625" style="15" customWidth="1"/>
    <col min="3322" max="3322" width="15.28515625" style="15" customWidth="1"/>
    <col min="3323" max="3323" width="14.5703125" style="15" customWidth="1"/>
    <col min="3324" max="3324" width="15.140625" style="15" customWidth="1"/>
    <col min="3325" max="3325" width="21.28515625" style="15" customWidth="1"/>
    <col min="3326" max="3326" width="18.7109375" style="15" customWidth="1"/>
    <col min="3327" max="3327" width="20.85546875" style="15" customWidth="1"/>
    <col min="3328" max="3328" width="20.5703125" style="15" customWidth="1"/>
    <col min="3329" max="3329" width="19.7109375" style="15" customWidth="1"/>
    <col min="3330" max="3330" width="18.28515625" style="15" customWidth="1"/>
    <col min="3331" max="3567" width="9.140625" style="15"/>
    <col min="3568" max="3568" width="7.7109375" style="15" customWidth="1"/>
    <col min="3569" max="3569" width="31.5703125" style="15" customWidth="1"/>
    <col min="3570" max="3570" width="24" style="15" customWidth="1"/>
    <col min="3571" max="3571" width="22.140625" style="15" customWidth="1"/>
    <col min="3572" max="3572" width="21.28515625" style="15" customWidth="1"/>
    <col min="3573" max="3573" width="20.7109375" style="15" customWidth="1"/>
    <col min="3574" max="3574" width="11.7109375" style="15" customWidth="1"/>
    <col min="3575" max="3575" width="12" style="15" customWidth="1"/>
    <col min="3576" max="3576" width="11.7109375" style="15" customWidth="1"/>
    <col min="3577" max="3577" width="25.28515625" style="15" customWidth="1"/>
    <col min="3578" max="3578" width="15.28515625" style="15" customWidth="1"/>
    <col min="3579" max="3579" width="14.5703125" style="15" customWidth="1"/>
    <col min="3580" max="3580" width="15.140625" style="15" customWidth="1"/>
    <col min="3581" max="3581" width="21.28515625" style="15" customWidth="1"/>
    <col min="3582" max="3582" width="18.7109375" style="15" customWidth="1"/>
    <col min="3583" max="3583" width="20.85546875" style="15" customWidth="1"/>
    <col min="3584" max="3584" width="20.5703125" style="15" customWidth="1"/>
    <col min="3585" max="3585" width="19.7109375" style="15" customWidth="1"/>
    <col min="3586" max="3586" width="18.28515625" style="15" customWidth="1"/>
    <col min="3587" max="3823" width="9.140625" style="15"/>
    <col min="3824" max="3824" width="7.7109375" style="15" customWidth="1"/>
    <col min="3825" max="3825" width="31.5703125" style="15" customWidth="1"/>
    <col min="3826" max="3826" width="24" style="15" customWidth="1"/>
    <col min="3827" max="3827" width="22.140625" style="15" customWidth="1"/>
    <col min="3828" max="3828" width="21.28515625" style="15" customWidth="1"/>
    <col min="3829" max="3829" width="20.7109375" style="15" customWidth="1"/>
    <col min="3830" max="3830" width="11.7109375" style="15" customWidth="1"/>
    <col min="3831" max="3831" width="12" style="15" customWidth="1"/>
    <col min="3832" max="3832" width="11.7109375" style="15" customWidth="1"/>
    <col min="3833" max="3833" width="25.28515625" style="15" customWidth="1"/>
    <col min="3834" max="3834" width="15.28515625" style="15" customWidth="1"/>
    <col min="3835" max="3835" width="14.5703125" style="15" customWidth="1"/>
    <col min="3836" max="3836" width="15.140625" style="15" customWidth="1"/>
    <col min="3837" max="3837" width="21.28515625" style="15" customWidth="1"/>
    <col min="3838" max="3838" width="18.7109375" style="15" customWidth="1"/>
    <col min="3839" max="3839" width="20.85546875" style="15" customWidth="1"/>
    <col min="3840" max="3840" width="20.5703125" style="15" customWidth="1"/>
    <col min="3841" max="3841" width="19.7109375" style="15" customWidth="1"/>
    <col min="3842" max="3842" width="18.28515625" style="15" customWidth="1"/>
    <col min="3843" max="4079" width="9.140625" style="15"/>
    <col min="4080" max="4080" width="7.7109375" style="15" customWidth="1"/>
    <col min="4081" max="4081" width="31.5703125" style="15" customWidth="1"/>
    <col min="4082" max="4082" width="24" style="15" customWidth="1"/>
    <col min="4083" max="4083" width="22.140625" style="15" customWidth="1"/>
    <col min="4084" max="4084" width="21.28515625" style="15" customWidth="1"/>
    <col min="4085" max="4085" width="20.7109375" style="15" customWidth="1"/>
    <col min="4086" max="4086" width="11.7109375" style="15" customWidth="1"/>
    <col min="4087" max="4087" width="12" style="15" customWidth="1"/>
    <col min="4088" max="4088" width="11.7109375" style="15" customWidth="1"/>
    <col min="4089" max="4089" width="25.28515625" style="15" customWidth="1"/>
    <col min="4090" max="4090" width="15.28515625" style="15" customWidth="1"/>
    <col min="4091" max="4091" width="14.5703125" style="15" customWidth="1"/>
    <col min="4092" max="4092" width="15.140625" style="15" customWidth="1"/>
    <col min="4093" max="4093" width="21.28515625" style="15" customWidth="1"/>
    <col min="4094" max="4094" width="18.7109375" style="15" customWidth="1"/>
    <col min="4095" max="4095" width="20.85546875" style="15" customWidth="1"/>
    <col min="4096" max="4096" width="20.5703125" style="15" customWidth="1"/>
    <col min="4097" max="4097" width="19.7109375" style="15" customWidth="1"/>
    <col min="4098" max="4098" width="18.28515625" style="15" customWidth="1"/>
    <col min="4099" max="4335" width="9.140625" style="15"/>
    <col min="4336" max="4336" width="7.7109375" style="15" customWidth="1"/>
    <col min="4337" max="4337" width="31.5703125" style="15" customWidth="1"/>
    <col min="4338" max="4338" width="24" style="15" customWidth="1"/>
    <col min="4339" max="4339" width="22.140625" style="15" customWidth="1"/>
    <col min="4340" max="4340" width="21.28515625" style="15" customWidth="1"/>
    <col min="4341" max="4341" width="20.7109375" style="15" customWidth="1"/>
    <col min="4342" max="4342" width="11.7109375" style="15" customWidth="1"/>
    <col min="4343" max="4343" width="12" style="15" customWidth="1"/>
    <col min="4344" max="4344" width="11.7109375" style="15" customWidth="1"/>
    <col min="4345" max="4345" width="25.28515625" style="15" customWidth="1"/>
    <col min="4346" max="4346" width="15.28515625" style="15" customWidth="1"/>
    <col min="4347" max="4347" width="14.5703125" style="15" customWidth="1"/>
    <col min="4348" max="4348" width="15.140625" style="15" customWidth="1"/>
    <col min="4349" max="4349" width="21.28515625" style="15" customWidth="1"/>
    <col min="4350" max="4350" width="18.7109375" style="15" customWidth="1"/>
    <col min="4351" max="4351" width="20.85546875" style="15" customWidth="1"/>
    <col min="4352" max="4352" width="20.5703125" style="15" customWidth="1"/>
    <col min="4353" max="4353" width="19.7109375" style="15" customWidth="1"/>
    <col min="4354" max="4354" width="18.28515625" style="15" customWidth="1"/>
    <col min="4355" max="4591" width="9.140625" style="15"/>
    <col min="4592" max="4592" width="7.7109375" style="15" customWidth="1"/>
    <col min="4593" max="4593" width="31.5703125" style="15" customWidth="1"/>
    <col min="4594" max="4594" width="24" style="15" customWidth="1"/>
    <col min="4595" max="4595" width="22.140625" style="15" customWidth="1"/>
    <col min="4596" max="4596" width="21.28515625" style="15" customWidth="1"/>
    <col min="4597" max="4597" width="20.7109375" style="15" customWidth="1"/>
    <col min="4598" max="4598" width="11.7109375" style="15" customWidth="1"/>
    <col min="4599" max="4599" width="12" style="15" customWidth="1"/>
    <col min="4600" max="4600" width="11.7109375" style="15" customWidth="1"/>
    <col min="4601" max="4601" width="25.28515625" style="15" customWidth="1"/>
    <col min="4602" max="4602" width="15.28515625" style="15" customWidth="1"/>
    <col min="4603" max="4603" width="14.5703125" style="15" customWidth="1"/>
    <col min="4604" max="4604" width="15.140625" style="15" customWidth="1"/>
    <col min="4605" max="4605" width="21.28515625" style="15" customWidth="1"/>
    <col min="4606" max="4606" width="18.7109375" style="15" customWidth="1"/>
    <col min="4607" max="4607" width="20.85546875" style="15" customWidth="1"/>
    <col min="4608" max="4608" width="20.5703125" style="15" customWidth="1"/>
    <col min="4609" max="4609" width="19.7109375" style="15" customWidth="1"/>
    <col min="4610" max="4610" width="18.28515625" style="15" customWidth="1"/>
    <col min="4611" max="4847" width="9.140625" style="15"/>
    <col min="4848" max="4848" width="7.7109375" style="15" customWidth="1"/>
    <col min="4849" max="4849" width="31.5703125" style="15" customWidth="1"/>
    <col min="4850" max="4850" width="24" style="15" customWidth="1"/>
    <col min="4851" max="4851" width="22.140625" style="15" customWidth="1"/>
    <col min="4852" max="4852" width="21.28515625" style="15" customWidth="1"/>
    <col min="4853" max="4853" width="20.7109375" style="15" customWidth="1"/>
    <col min="4854" max="4854" width="11.7109375" style="15" customWidth="1"/>
    <col min="4855" max="4855" width="12" style="15" customWidth="1"/>
    <col min="4856" max="4856" width="11.7109375" style="15" customWidth="1"/>
    <col min="4857" max="4857" width="25.28515625" style="15" customWidth="1"/>
    <col min="4858" max="4858" width="15.28515625" style="15" customWidth="1"/>
    <col min="4859" max="4859" width="14.5703125" style="15" customWidth="1"/>
    <col min="4860" max="4860" width="15.140625" style="15" customWidth="1"/>
    <col min="4861" max="4861" width="21.28515625" style="15" customWidth="1"/>
    <col min="4862" max="4862" width="18.7109375" style="15" customWidth="1"/>
    <col min="4863" max="4863" width="20.85546875" style="15" customWidth="1"/>
    <col min="4864" max="4864" width="20.5703125" style="15" customWidth="1"/>
    <col min="4865" max="4865" width="19.7109375" style="15" customWidth="1"/>
    <col min="4866" max="4866" width="18.28515625" style="15" customWidth="1"/>
    <col min="4867" max="5103" width="9.140625" style="15"/>
    <col min="5104" max="5104" width="7.7109375" style="15" customWidth="1"/>
    <col min="5105" max="5105" width="31.5703125" style="15" customWidth="1"/>
    <col min="5106" max="5106" width="24" style="15" customWidth="1"/>
    <col min="5107" max="5107" width="22.140625" style="15" customWidth="1"/>
    <col min="5108" max="5108" width="21.28515625" style="15" customWidth="1"/>
    <col min="5109" max="5109" width="20.7109375" style="15" customWidth="1"/>
    <col min="5110" max="5110" width="11.7109375" style="15" customWidth="1"/>
    <col min="5111" max="5111" width="12" style="15" customWidth="1"/>
    <col min="5112" max="5112" width="11.7109375" style="15" customWidth="1"/>
    <col min="5113" max="5113" width="25.28515625" style="15" customWidth="1"/>
    <col min="5114" max="5114" width="15.28515625" style="15" customWidth="1"/>
    <col min="5115" max="5115" width="14.5703125" style="15" customWidth="1"/>
    <col min="5116" max="5116" width="15.140625" style="15" customWidth="1"/>
    <col min="5117" max="5117" width="21.28515625" style="15" customWidth="1"/>
    <col min="5118" max="5118" width="18.7109375" style="15" customWidth="1"/>
    <col min="5119" max="5119" width="20.85546875" style="15" customWidth="1"/>
    <col min="5120" max="5120" width="20.5703125" style="15" customWidth="1"/>
    <col min="5121" max="5121" width="19.7109375" style="15" customWidth="1"/>
    <col min="5122" max="5122" width="18.28515625" style="15" customWidth="1"/>
    <col min="5123" max="5359" width="9.140625" style="15"/>
    <col min="5360" max="5360" width="7.7109375" style="15" customWidth="1"/>
    <col min="5361" max="5361" width="31.5703125" style="15" customWidth="1"/>
    <col min="5362" max="5362" width="24" style="15" customWidth="1"/>
    <col min="5363" max="5363" width="22.140625" style="15" customWidth="1"/>
    <col min="5364" max="5364" width="21.28515625" style="15" customWidth="1"/>
    <col min="5365" max="5365" width="20.7109375" style="15" customWidth="1"/>
    <col min="5366" max="5366" width="11.7109375" style="15" customWidth="1"/>
    <col min="5367" max="5367" width="12" style="15" customWidth="1"/>
    <col min="5368" max="5368" width="11.7109375" style="15" customWidth="1"/>
    <col min="5369" max="5369" width="25.28515625" style="15" customWidth="1"/>
    <col min="5370" max="5370" width="15.28515625" style="15" customWidth="1"/>
    <col min="5371" max="5371" width="14.5703125" style="15" customWidth="1"/>
    <col min="5372" max="5372" width="15.140625" style="15" customWidth="1"/>
    <col min="5373" max="5373" width="21.28515625" style="15" customWidth="1"/>
    <col min="5374" max="5374" width="18.7109375" style="15" customWidth="1"/>
    <col min="5375" max="5375" width="20.85546875" style="15" customWidth="1"/>
    <col min="5376" max="5376" width="20.5703125" style="15" customWidth="1"/>
    <col min="5377" max="5377" width="19.7109375" style="15" customWidth="1"/>
    <col min="5378" max="5378" width="18.28515625" style="15" customWidth="1"/>
    <col min="5379" max="5615" width="9.140625" style="15"/>
    <col min="5616" max="5616" width="7.7109375" style="15" customWidth="1"/>
    <col min="5617" max="5617" width="31.5703125" style="15" customWidth="1"/>
    <col min="5618" max="5618" width="24" style="15" customWidth="1"/>
    <col min="5619" max="5619" width="22.140625" style="15" customWidth="1"/>
    <col min="5620" max="5620" width="21.28515625" style="15" customWidth="1"/>
    <col min="5621" max="5621" width="20.7109375" style="15" customWidth="1"/>
    <col min="5622" max="5622" width="11.7109375" style="15" customWidth="1"/>
    <col min="5623" max="5623" width="12" style="15" customWidth="1"/>
    <col min="5624" max="5624" width="11.7109375" style="15" customWidth="1"/>
    <col min="5625" max="5625" width="25.28515625" style="15" customWidth="1"/>
    <col min="5626" max="5626" width="15.28515625" style="15" customWidth="1"/>
    <col min="5627" max="5627" width="14.5703125" style="15" customWidth="1"/>
    <col min="5628" max="5628" width="15.140625" style="15" customWidth="1"/>
    <col min="5629" max="5629" width="21.28515625" style="15" customWidth="1"/>
    <col min="5630" max="5630" width="18.7109375" style="15" customWidth="1"/>
    <col min="5631" max="5631" width="20.85546875" style="15" customWidth="1"/>
    <col min="5632" max="5632" width="20.5703125" style="15" customWidth="1"/>
    <col min="5633" max="5633" width="19.7109375" style="15" customWidth="1"/>
    <col min="5634" max="5634" width="18.28515625" style="15" customWidth="1"/>
    <col min="5635" max="5871" width="9.140625" style="15"/>
    <col min="5872" max="5872" width="7.7109375" style="15" customWidth="1"/>
    <col min="5873" max="5873" width="31.5703125" style="15" customWidth="1"/>
    <col min="5874" max="5874" width="24" style="15" customWidth="1"/>
    <col min="5875" max="5875" width="22.140625" style="15" customWidth="1"/>
    <col min="5876" max="5876" width="21.28515625" style="15" customWidth="1"/>
    <col min="5877" max="5877" width="20.7109375" style="15" customWidth="1"/>
    <col min="5878" max="5878" width="11.7109375" style="15" customWidth="1"/>
    <col min="5879" max="5879" width="12" style="15" customWidth="1"/>
    <col min="5880" max="5880" width="11.7109375" style="15" customWidth="1"/>
    <col min="5881" max="5881" width="25.28515625" style="15" customWidth="1"/>
    <col min="5882" max="5882" width="15.28515625" style="15" customWidth="1"/>
    <col min="5883" max="5883" width="14.5703125" style="15" customWidth="1"/>
    <col min="5884" max="5884" width="15.140625" style="15" customWidth="1"/>
    <col min="5885" max="5885" width="21.28515625" style="15" customWidth="1"/>
    <col min="5886" max="5886" width="18.7109375" style="15" customWidth="1"/>
    <col min="5887" max="5887" width="20.85546875" style="15" customWidth="1"/>
    <col min="5888" max="5888" width="20.5703125" style="15" customWidth="1"/>
    <col min="5889" max="5889" width="19.7109375" style="15" customWidth="1"/>
    <col min="5890" max="5890" width="18.28515625" style="15" customWidth="1"/>
    <col min="5891" max="6127" width="9.140625" style="15"/>
    <col min="6128" max="6128" width="7.7109375" style="15" customWidth="1"/>
    <col min="6129" max="6129" width="31.5703125" style="15" customWidth="1"/>
    <col min="6130" max="6130" width="24" style="15" customWidth="1"/>
    <col min="6131" max="6131" width="22.140625" style="15" customWidth="1"/>
    <col min="6132" max="6132" width="21.28515625" style="15" customWidth="1"/>
    <col min="6133" max="6133" width="20.7109375" style="15" customWidth="1"/>
    <col min="6134" max="6134" width="11.7109375" style="15" customWidth="1"/>
    <col min="6135" max="6135" width="12" style="15" customWidth="1"/>
    <col min="6136" max="6136" width="11.7109375" style="15" customWidth="1"/>
    <col min="6137" max="6137" width="25.28515625" style="15" customWidth="1"/>
    <col min="6138" max="6138" width="15.28515625" style="15" customWidth="1"/>
    <col min="6139" max="6139" width="14.5703125" style="15" customWidth="1"/>
    <col min="6140" max="6140" width="15.140625" style="15" customWidth="1"/>
    <col min="6141" max="6141" width="21.28515625" style="15" customWidth="1"/>
    <col min="6142" max="6142" width="18.7109375" style="15" customWidth="1"/>
    <col min="6143" max="6143" width="20.85546875" style="15" customWidth="1"/>
    <col min="6144" max="6144" width="20.5703125" style="15" customWidth="1"/>
    <col min="6145" max="6145" width="19.7109375" style="15" customWidth="1"/>
    <col min="6146" max="6146" width="18.28515625" style="15" customWidth="1"/>
    <col min="6147" max="6383" width="9.140625" style="15"/>
    <col min="6384" max="6384" width="7.7109375" style="15" customWidth="1"/>
    <col min="6385" max="6385" width="31.5703125" style="15" customWidth="1"/>
    <col min="6386" max="6386" width="24" style="15" customWidth="1"/>
    <col min="6387" max="6387" width="22.140625" style="15" customWidth="1"/>
    <col min="6388" max="6388" width="21.28515625" style="15" customWidth="1"/>
    <col min="6389" max="6389" width="20.7109375" style="15" customWidth="1"/>
    <col min="6390" max="6390" width="11.7109375" style="15" customWidth="1"/>
    <col min="6391" max="6391" width="12" style="15" customWidth="1"/>
    <col min="6392" max="6392" width="11.7109375" style="15" customWidth="1"/>
    <col min="6393" max="6393" width="25.28515625" style="15" customWidth="1"/>
    <col min="6394" max="6394" width="15.28515625" style="15" customWidth="1"/>
    <col min="6395" max="6395" width="14.5703125" style="15" customWidth="1"/>
    <col min="6396" max="6396" width="15.140625" style="15" customWidth="1"/>
    <col min="6397" max="6397" width="21.28515625" style="15" customWidth="1"/>
    <col min="6398" max="6398" width="18.7109375" style="15" customWidth="1"/>
    <col min="6399" max="6399" width="20.85546875" style="15" customWidth="1"/>
    <col min="6400" max="6400" width="20.5703125" style="15" customWidth="1"/>
    <col min="6401" max="6401" width="19.7109375" style="15" customWidth="1"/>
    <col min="6402" max="6402" width="18.28515625" style="15" customWidth="1"/>
    <col min="6403" max="6639" width="9.140625" style="15"/>
    <col min="6640" max="6640" width="7.7109375" style="15" customWidth="1"/>
    <col min="6641" max="6641" width="31.5703125" style="15" customWidth="1"/>
    <col min="6642" max="6642" width="24" style="15" customWidth="1"/>
    <col min="6643" max="6643" width="22.140625" style="15" customWidth="1"/>
    <col min="6644" max="6644" width="21.28515625" style="15" customWidth="1"/>
    <col min="6645" max="6645" width="20.7109375" style="15" customWidth="1"/>
    <col min="6646" max="6646" width="11.7109375" style="15" customWidth="1"/>
    <col min="6647" max="6647" width="12" style="15" customWidth="1"/>
    <col min="6648" max="6648" width="11.7109375" style="15" customWidth="1"/>
    <col min="6649" max="6649" width="25.28515625" style="15" customWidth="1"/>
    <col min="6650" max="6650" width="15.28515625" style="15" customWidth="1"/>
    <col min="6651" max="6651" width="14.5703125" style="15" customWidth="1"/>
    <col min="6652" max="6652" width="15.140625" style="15" customWidth="1"/>
    <col min="6653" max="6653" width="21.28515625" style="15" customWidth="1"/>
    <col min="6654" max="6654" width="18.7109375" style="15" customWidth="1"/>
    <col min="6655" max="6655" width="20.85546875" style="15" customWidth="1"/>
    <col min="6656" max="6656" width="20.5703125" style="15" customWidth="1"/>
    <col min="6657" max="6657" width="19.7109375" style="15" customWidth="1"/>
    <col min="6658" max="6658" width="18.28515625" style="15" customWidth="1"/>
    <col min="6659" max="6895" width="9.140625" style="15"/>
    <col min="6896" max="6896" width="7.7109375" style="15" customWidth="1"/>
    <col min="6897" max="6897" width="31.5703125" style="15" customWidth="1"/>
    <col min="6898" max="6898" width="24" style="15" customWidth="1"/>
    <col min="6899" max="6899" width="22.140625" style="15" customWidth="1"/>
    <col min="6900" max="6900" width="21.28515625" style="15" customWidth="1"/>
    <col min="6901" max="6901" width="20.7109375" style="15" customWidth="1"/>
    <col min="6902" max="6902" width="11.7109375" style="15" customWidth="1"/>
    <col min="6903" max="6903" width="12" style="15" customWidth="1"/>
    <col min="6904" max="6904" width="11.7109375" style="15" customWidth="1"/>
    <col min="6905" max="6905" width="25.28515625" style="15" customWidth="1"/>
    <col min="6906" max="6906" width="15.28515625" style="15" customWidth="1"/>
    <col min="6907" max="6907" width="14.5703125" style="15" customWidth="1"/>
    <col min="6908" max="6908" width="15.140625" style="15" customWidth="1"/>
    <col min="6909" max="6909" width="21.28515625" style="15" customWidth="1"/>
    <col min="6910" max="6910" width="18.7109375" style="15" customWidth="1"/>
    <col min="6911" max="6911" width="20.85546875" style="15" customWidth="1"/>
    <col min="6912" max="6912" width="20.5703125" style="15" customWidth="1"/>
    <col min="6913" max="6913" width="19.7109375" style="15" customWidth="1"/>
    <col min="6914" max="6914" width="18.28515625" style="15" customWidth="1"/>
    <col min="6915" max="7151" width="9.140625" style="15"/>
    <col min="7152" max="7152" width="7.7109375" style="15" customWidth="1"/>
    <col min="7153" max="7153" width="31.5703125" style="15" customWidth="1"/>
    <col min="7154" max="7154" width="24" style="15" customWidth="1"/>
    <col min="7155" max="7155" width="22.140625" style="15" customWidth="1"/>
    <col min="7156" max="7156" width="21.28515625" style="15" customWidth="1"/>
    <col min="7157" max="7157" width="20.7109375" style="15" customWidth="1"/>
    <col min="7158" max="7158" width="11.7109375" style="15" customWidth="1"/>
    <col min="7159" max="7159" width="12" style="15" customWidth="1"/>
    <col min="7160" max="7160" width="11.7109375" style="15" customWidth="1"/>
    <col min="7161" max="7161" width="25.28515625" style="15" customWidth="1"/>
    <col min="7162" max="7162" width="15.28515625" style="15" customWidth="1"/>
    <col min="7163" max="7163" width="14.5703125" style="15" customWidth="1"/>
    <col min="7164" max="7164" width="15.140625" style="15" customWidth="1"/>
    <col min="7165" max="7165" width="21.28515625" style="15" customWidth="1"/>
    <col min="7166" max="7166" width="18.7109375" style="15" customWidth="1"/>
    <col min="7167" max="7167" width="20.85546875" style="15" customWidth="1"/>
    <col min="7168" max="7168" width="20.5703125" style="15" customWidth="1"/>
    <col min="7169" max="7169" width="19.7109375" style="15" customWidth="1"/>
    <col min="7170" max="7170" width="18.28515625" style="15" customWidth="1"/>
    <col min="7171" max="7407" width="9.140625" style="15"/>
    <col min="7408" max="7408" width="7.7109375" style="15" customWidth="1"/>
    <col min="7409" max="7409" width="31.5703125" style="15" customWidth="1"/>
    <col min="7410" max="7410" width="24" style="15" customWidth="1"/>
    <col min="7411" max="7411" width="22.140625" style="15" customWidth="1"/>
    <col min="7412" max="7412" width="21.28515625" style="15" customWidth="1"/>
    <col min="7413" max="7413" width="20.7109375" style="15" customWidth="1"/>
    <col min="7414" max="7414" width="11.7109375" style="15" customWidth="1"/>
    <col min="7415" max="7415" width="12" style="15" customWidth="1"/>
    <col min="7416" max="7416" width="11.7109375" style="15" customWidth="1"/>
    <col min="7417" max="7417" width="25.28515625" style="15" customWidth="1"/>
    <col min="7418" max="7418" width="15.28515625" style="15" customWidth="1"/>
    <col min="7419" max="7419" width="14.5703125" style="15" customWidth="1"/>
    <col min="7420" max="7420" width="15.140625" style="15" customWidth="1"/>
    <col min="7421" max="7421" width="21.28515625" style="15" customWidth="1"/>
    <col min="7422" max="7422" width="18.7109375" style="15" customWidth="1"/>
    <col min="7423" max="7423" width="20.85546875" style="15" customWidth="1"/>
    <col min="7424" max="7424" width="20.5703125" style="15" customWidth="1"/>
    <col min="7425" max="7425" width="19.7109375" style="15" customWidth="1"/>
    <col min="7426" max="7426" width="18.28515625" style="15" customWidth="1"/>
    <col min="7427" max="7663" width="9.140625" style="15"/>
    <col min="7664" max="7664" width="7.7109375" style="15" customWidth="1"/>
    <col min="7665" max="7665" width="31.5703125" style="15" customWidth="1"/>
    <col min="7666" max="7666" width="24" style="15" customWidth="1"/>
    <col min="7667" max="7667" width="22.140625" style="15" customWidth="1"/>
    <col min="7668" max="7668" width="21.28515625" style="15" customWidth="1"/>
    <col min="7669" max="7669" width="20.7109375" style="15" customWidth="1"/>
    <col min="7670" max="7670" width="11.7109375" style="15" customWidth="1"/>
    <col min="7671" max="7671" width="12" style="15" customWidth="1"/>
    <col min="7672" max="7672" width="11.7109375" style="15" customWidth="1"/>
    <col min="7673" max="7673" width="25.28515625" style="15" customWidth="1"/>
    <col min="7674" max="7674" width="15.28515625" style="15" customWidth="1"/>
    <col min="7675" max="7675" width="14.5703125" style="15" customWidth="1"/>
    <col min="7676" max="7676" width="15.140625" style="15" customWidth="1"/>
    <col min="7677" max="7677" width="21.28515625" style="15" customWidth="1"/>
    <col min="7678" max="7678" width="18.7109375" style="15" customWidth="1"/>
    <col min="7679" max="7679" width="20.85546875" style="15" customWidth="1"/>
    <col min="7680" max="7680" width="20.5703125" style="15" customWidth="1"/>
    <col min="7681" max="7681" width="19.7109375" style="15" customWidth="1"/>
    <col min="7682" max="7682" width="18.28515625" style="15" customWidth="1"/>
    <col min="7683" max="7919" width="9.140625" style="15"/>
    <col min="7920" max="7920" width="7.7109375" style="15" customWidth="1"/>
    <col min="7921" max="7921" width="31.5703125" style="15" customWidth="1"/>
    <col min="7922" max="7922" width="24" style="15" customWidth="1"/>
    <col min="7923" max="7923" width="22.140625" style="15" customWidth="1"/>
    <col min="7924" max="7924" width="21.28515625" style="15" customWidth="1"/>
    <col min="7925" max="7925" width="20.7109375" style="15" customWidth="1"/>
    <col min="7926" max="7926" width="11.7109375" style="15" customWidth="1"/>
    <col min="7927" max="7927" width="12" style="15" customWidth="1"/>
    <col min="7928" max="7928" width="11.7109375" style="15" customWidth="1"/>
    <col min="7929" max="7929" width="25.28515625" style="15" customWidth="1"/>
    <col min="7930" max="7930" width="15.28515625" style="15" customWidth="1"/>
    <col min="7931" max="7931" width="14.5703125" style="15" customWidth="1"/>
    <col min="7932" max="7932" width="15.140625" style="15" customWidth="1"/>
    <col min="7933" max="7933" width="21.28515625" style="15" customWidth="1"/>
    <col min="7934" max="7934" width="18.7109375" style="15" customWidth="1"/>
    <col min="7935" max="7935" width="20.85546875" style="15" customWidth="1"/>
    <col min="7936" max="7936" width="20.5703125" style="15" customWidth="1"/>
    <col min="7937" max="7937" width="19.7109375" style="15" customWidth="1"/>
    <col min="7938" max="7938" width="18.28515625" style="15" customWidth="1"/>
    <col min="7939" max="8175" width="9.140625" style="15"/>
    <col min="8176" max="8176" width="7.7109375" style="15" customWidth="1"/>
    <col min="8177" max="8177" width="31.5703125" style="15" customWidth="1"/>
    <col min="8178" max="8178" width="24" style="15" customWidth="1"/>
    <col min="8179" max="8179" width="22.140625" style="15" customWidth="1"/>
    <col min="8180" max="8180" width="21.28515625" style="15" customWidth="1"/>
    <col min="8181" max="8181" width="20.7109375" style="15" customWidth="1"/>
    <col min="8182" max="8182" width="11.7109375" style="15" customWidth="1"/>
    <col min="8183" max="8183" width="12" style="15" customWidth="1"/>
    <col min="8184" max="8184" width="11.7109375" style="15" customWidth="1"/>
    <col min="8185" max="8185" width="25.28515625" style="15" customWidth="1"/>
    <col min="8186" max="8186" width="15.28515625" style="15" customWidth="1"/>
    <col min="8187" max="8187" width="14.5703125" style="15" customWidth="1"/>
    <col min="8188" max="8188" width="15.140625" style="15" customWidth="1"/>
    <col min="8189" max="8189" width="21.28515625" style="15" customWidth="1"/>
    <col min="8190" max="8190" width="18.7109375" style="15" customWidth="1"/>
    <col min="8191" max="8191" width="20.85546875" style="15" customWidth="1"/>
    <col min="8192" max="8192" width="20.5703125" style="15" customWidth="1"/>
    <col min="8193" max="8193" width="19.7109375" style="15" customWidth="1"/>
    <col min="8194" max="8194" width="18.28515625" style="15" customWidth="1"/>
    <col min="8195" max="8431" width="9.140625" style="15"/>
    <col min="8432" max="8432" width="7.7109375" style="15" customWidth="1"/>
    <col min="8433" max="8433" width="31.5703125" style="15" customWidth="1"/>
    <col min="8434" max="8434" width="24" style="15" customWidth="1"/>
    <col min="8435" max="8435" width="22.140625" style="15" customWidth="1"/>
    <col min="8436" max="8436" width="21.28515625" style="15" customWidth="1"/>
    <col min="8437" max="8437" width="20.7109375" style="15" customWidth="1"/>
    <col min="8438" max="8438" width="11.7109375" style="15" customWidth="1"/>
    <col min="8439" max="8439" width="12" style="15" customWidth="1"/>
    <col min="8440" max="8440" width="11.7109375" style="15" customWidth="1"/>
    <col min="8441" max="8441" width="25.28515625" style="15" customWidth="1"/>
    <col min="8442" max="8442" width="15.28515625" style="15" customWidth="1"/>
    <col min="8443" max="8443" width="14.5703125" style="15" customWidth="1"/>
    <col min="8444" max="8444" width="15.140625" style="15" customWidth="1"/>
    <col min="8445" max="8445" width="21.28515625" style="15" customWidth="1"/>
    <col min="8446" max="8446" width="18.7109375" style="15" customWidth="1"/>
    <col min="8447" max="8447" width="20.85546875" style="15" customWidth="1"/>
    <col min="8448" max="8448" width="20.5703125" style="15" customWidth="1"/>
    <col min="8449" max="8449" width="19.7109375" style="15" customWidth="1"/>
    <col min="8450" max="8450" width="18.28515625" style="15" customWidth="1"/>
    <col min="8451" max="8687" width="9.140625" style="15"/>
    <col min="8688" max="8688" width="7.7109375" style="15" customWidth="1"/>
    <col min="8689" max="8689" width="31.5703125" style="15" customWidth="1"/>
    <col min="8690" max="8690" width="24" style="15" customWidth="1"/>
    <col min="8691" max="8691" width="22.140625" style="15" customWidth="1"/>
    <col min="8692" max="8692" width="21.28515625" style="15" customWidth="1"/>
    <col min="8693" max="8693" width="20.7109375" style="15" customWidth="1"/>
    <col min="8694" max="8694" width="11.7109375" style="15" customWidth="1"/>
    <col min="8695" max="8695" width="12" style="15" customWidth="1"/>
    <col min="8696" max="8696" width="11.7109375" style="15" customWidth="1"/>
    <col min="8697" max="8697" width="25.28515625" style="15" customWidth="1"/>
    <col min="8698" max="8698" width="15.28515625" style="15" customWidth="1"/>
    <col min="8699" max="8699" width="14.5703125" style="15" customWidth="1"/>
    <col min="8700" max="8700" width="15.140625" style="15" customWidth="1"/>
    <col min="8701" max="8701" width="21.28515625" style="15" customWidth="1"/>
    <col min="8702" max="8702" width="18.7109375" style="15" customWidth="1"/>
    <col min="8703" max="8703" width="20.85546875" style="15" customWidth="1"/>
    <col min="8704" max="8704" width="20.5703125" style="15" customWidth="1"/>
    <col min="8705" max="8705" width="19.7109375" style="15" customWidth="1"/>
    <col min="8706" max="8706" width="18.28515625" style="15" customWidth="1"/>
    <col min="8707" max="8943" width="9.140625" style="15"/>
    <col min="8944" max="8944" width="7.7109375" style="15" customWidth="1"/>
    <col min="8945" max="8945" width="31.5703125" style="15" customWidth="1"/>
    <col min="8946" max="8946" width="24" style="15" customWidth="1"/>
    <col min="8947" max="8947" width="22.140625" style="15" customWidth="1"/>
    <col min="8948" max="8948" width="21.28515625" style="15" customWidth="1"/>
    <col min="8949" max="8949" width="20.7109375" style="15" customWidth="1"/>
    <col min="8950" max="8950" width="11.7109375" style="15" customWidth="1"/>
    <col min="8951" max="8951" width="12" style="15" customWidth="1"/>
    <col min="8952" max="8952" width="11.7109375" style="15" customWidth="1"/>
    <col min="8953" max="8953" width="25.28515625" style="15" customWidth="1"/>
    <col min="8954" max="8954" width="15.28515625" style="15" customWidth="1"/>
    <col min="8955" max="8955" width="14.5703125" style="15" customWidth="1"/>
    <col min="8956" max="8956" width="15.140625" style="15" customWidth="1"/>
    <col min="8957" max="8957" width="21.28515625" style="15" customWidth="1"/>
    <col min="8958" max="8958" width="18.7109375" style="15" customWidth="1"/>
    <col min="8959" max="8959" width="20.85546875" style="15" customWidth="1"/>
    <col min="8960" max="8960" width="20.5703125" style="15" customWidth="1"/>
    <col min="8961" max="8961" width="19.7109375" style="15" customWidth="1"/>
    <col min="8962" max="8962" width="18.28515625" style="15" customWidth="1"/>
    <col min="8963" max="9199" width="9.140625" style="15"/>
    <col min="9200" max="9200" width="7.7109375" style="15" customWidth="1"/>
    <col min="9201" max="9201" width="31.5703125" style="15" customWidth="1"/>
    <col min="9202" max="9202" width="24" style="15" customWidth="1"/>
    <col min="9203" max="9203" width="22.140625" style="15" customWidth="1"/>
    <col min="9204" max="9204" width="21.28515625" style="15" customWidth="1"/>
    <col min="9205" max="9205" width="20.7109375" style="15" customWidth="1"/>
    <col min="9206" max="9206" width="11.7109375" style="15" customWidth="1"/>
    <col min="9207" max="9207" width="12" style="15" customWidth="1"/>
    <col min="9208" max="9208" width="11.7109375" style="15" customWidth="1"/>
    <col min="9209" max="9209" width="25.28515625" style="15" customWidth="1"/>
    <col min="9210" max="9210" width="15.28515625" style="15" customWidth="1"/>
    <col min="9211" max="9211" width="14.5703125" style="15" customWidth="1"/>
    <col min="9212" max="9212" width="15.140625" style="15" customWidth="1"/>
    <col min="9213" max="9213" width="21.28515625" style="15" customWidth="1"/>
    <col min="9214" max="9214" width="18.7109375" style="15" customWidth="1"/>
    <col min="9215" max="9215" width="20.85546875" style="15" customWidth="1"/>
    <col min="9216" max="9216" width="20.5703125" style="15" customWidth="1"/>
    <col min="9217" max="9217" width="19.7109375" style="15" customWidth="1"/>
    <col min="9218" max="9218" width="18.28515625" style="15" customWidth="1"/>
    <col min="9219" max="9455" width="9.140625" style="15"/>
    <col min="9456" max="9456" width="7.7109375" style="15" customWidth="1"/>
    <col min="9457" max="9457" width="31.5703125" style="15" customWidth="1"/>
    <col min="9458" max="9458" width="24" style="15" customWidth="1"/>
    <col min="9459" max="9459" width="22.140625" style="15" customWidth="1"/>
    <col min="9460" max="9460" width="21.28515625" style="15" customWidth="1"/>
    <col min="9461" max="9461" width="20.7109375" style="15" customWidth="1"/>
    <col min="9462" max="9462" width="11.7109375" style="15" customWidth="1"/>
    <col min="9463" max="9463" width="12" style="15" customWidth="1"/>
    <col min="9464" max="9464" width="11.7109375" style="15" customWidth="1"/>
    <col min="9465" max="9465" width="25.28515625" style="15" customWidth="1"/>
    <col min="9466" max="9466" width="15.28515625" style="15" customWidth="1"/>
    <col min="9467" max="9467" width="14.5703125" style="15" customWidth="1"/>
    <col min="9468" max="9468" width="15.140625" style="15" customWidth="1"/>
    <col min="9469" max="9469" width="21.28515625" style="15" customWidth="1"/>
    <col min="9470" max="9470" width="18.7109375" style="15" customWidth="1"/>
    <col min="9471" max="9471" width="20.85546875" style="15" customWidth="1"/>
    <col min="9472" max="9472" width="20.5703125" style="15" customWidth="1"/>
    <col min="9473" max="9473" width="19.7109375" style="15" customWidth="1"/>
    <col min="9474" max="9474" width="18.28515625" style="15" customWidth="1"/>
    <col min="9475" max="9711" width="9.140625" style="15"/>
    <col min="9712" max="9712" width="7.7109375" style="15" customWidth="1"/>
    <col min="9713" max="9713" width="31.5703125" style="15" customWidth="1"/>
    <col min="9714" max="9714" width="24" style="15" customWidth="1"/>
    <col min="9715" max="9715" width="22.140625" style="15" customWidth="1"/>
    <col min="9716" max="9716" width="21.28515625" style="15" customWidth="1"/>
    <col min="9717" max="9717" width="20.7109375" style="15" customWidth="1"/>
    <col min="9718" max="9718" width="11.7109375" style="15" customWidth="1"/>
    <col min="9719" max="9719" width="12" style="15" customWidth="1"/>
    <col min="9720" max="9720" width="11.7109375" style="15" customWidth="1"/>
    <col min="9721" max="9721" width="25.28515625" style="15" customWidth="1"/>
    <col min="9722" max="9722" width="15.28515625" style="15" customWidth="1"/>
    <col min="9723" max="9723" width="14.5703125" style="15" customWidth="1"/>
    <col min="9724" max="9724" width="15.140625" style="15" customWidth="1"/>
    <col min="9725" max="9725" width="21.28515625" style="15" customWidth="1"/>
    <col min="9726" max="9726" width="18.7109375" style="15" customWidth="1"/>
    <col min="9727" max="9727" width="20.85546875" style="15" customWidth="1"/>
    <col min="9728" max="9728" width="20.5703125" style="15" customWidth="1"/>
    <col min="9729" max="9729" width="19.7109375" style="15" customWidth="1"/>
    <col min="9730" max="9730" width="18.28515625" style="15" customWidth="1"/>
    <col min="9731" max="9967" width="9.140625" style="15"/>
    <col min="9968" max="9968" width="7.7109375" style="15" customWidth="1"/>
    <col min="9969" max="9969" width="31.5703125" style="15" customWidth="1"/>
    <col min="9970" max="9970" width="24" style="15" customWidth="1"/>
    <col min="9971" max="9971" width="22.140625" style="15" customWidth="1"/>
    <col min="9972" max="9972" width="21.28515625" style="15" customWidth="1"/>
    <col min="9973" max="9973" width="20.7109375" style="15" customWidth="1"/>
    <col min="9974" max="9974" width="11.7109375" style="15" customWidth="1"/>
    <col min="9975" max="9975" width="12" style="15" customWidth="1"/>
    <col min="9976" max="9976" width="11.7109375" style="15" customWidth="1"/>
    <col min="9977" max="9977" width="25.28515625" style="15" customWidth="1"/>
    <col min="9978" max="9978" width="15.28515625" style="15" customWidth="1"/>
    <col min="9979" max="9979" width="14.5703125" style="15" customWidth="1"/>
    <col min="9980" max="9980" width="15.140625" style="15" customWidth="1"/>
    <col min="9981" max="9981" width="21.28515625" style="15" customWidth="1"/>
    <col min="9982" max="9982" width="18.7109375" style="15" customWidth="1"/>
    <col min="9983" max="9983" width="20.85546875" style="15" customWidth="1"/>
    <col min="9984" max="9984" width="20.5703125" style="15" customWidth="1"/>
    <col min="9985" max="9985" width="19.7109375" style="15" customWidth="1"/>
    <col min="9986" max="9986" width="18.28515625" style="15" customWidth="1"/>
    <col min="9987" max="10223" width="9.140625" style="15"/>
    <col min="10224" max="10224" width="7.7109375" style="15" customWidth="1"/>
    <col min="10225" max="10225" width="31.5703125" style="15" customWidth="1"/>
    <col min="10226" max="10226" width="24" style="15" customWidth="1"/>
    <col min="10227" max="10227" width="22.140625" style="15" customWidth="1"/>
    <col min="10228" max="10228" width="21.28515625" style="15" customWidth="1"/>
    <col min="10229" max="10229" width="20.7109375" style="15" customWidth="1"/>
    <col min="10230" max="10230" width="11.7109375" style="15" customWidth="1"/>
    <col min="10231" max="10231" width="12" style="15" customWidth="1"/>
    <col min="10232" max="10232" width="11.7109375" style="15" customWidth="1"/>
    <col min="10233" max="10233" width="25.28515625" style="15" customWidth="1"/>
    <col min="10234" max="10234" width="15.28515625" style="15" customWidth="1"/>
    <col min="10235" max="10235" width="14.5703125" style="15" customWidth="1"/>
    <col min="10236" max="10236" width="15.140625" style="15" customWidth="1"/>
    <col min="10237" max="10237" width="21.28515625" style="15" customWidth="1"/>
    <col min="10238" max="10238" width="18.7109375" style="15" customWidth="1"/>
    <col min="10239" max="10239" width="20.85546875" style="15" customWidth="1"/>
    <col min="10240" max="10240" width="20.5703125" style="15" customWidth="1"/>
    <col min="10241" max="10241" width="19.7109375" style="15" customWidth="1"/>
    <col min="10242" max="10242" width="18.28515625" style="15" customWidth="1"/>
    <col min="10243" max="10479" width="9.140625" style="15"/>
    <col min="10480" max="10480" width="7.7109375" style="15" customWidth="1"/>
    <col min="10481" max="10481" width="31.5703125" style="15" customWidth="1"/>
    <col min="10482" max="10482" width="24" style="15" customWidth="1"/>
    <col min="10483" max="10483" width="22.140625" style="15" customWidth="1"/>
    <col min="10484" max="10484" width="21.28515625" style="15" customWidth="1"/>
    <col min="10485" max="10485" width="20.7109375" style="15" customWidth="1"/>
    <col min="10486" max="10486" width="11.7109375" style="15" customWidth="1"/>
    <col min="10487" max="10487" width="12" style="15" customWidth="1"/>
    <col min="10488" max="10488" width="11.7109375" style="15" customWidth="1"/>
    <col min="10489" max="10489" width="25.28515625" style="15" customWidth="1"/>
    <col min="10490" max="10490" width="15.28515625" style="15" customWidth="1"/>
    <col min="10491" max="10491" width="14.5703125" style="15" customWidth="1"/>
    <col min="10492" max="10492" width="15.140625" style="15" customWidth="1"/>
    <col min="10493" max="10493" width="21.28515625" style="15" customWidth="1"/>
    <col min="10494" max="10494" width="18.7109375" style="15" customWidth="1"/>
    <col min="10495" max="10495" width="20.85546875" style="15" customWidth="1"/>
    <col min="10496" max="10496" width="20.5703125" style="15" customWidth="1"/>
    <col min="10497" max="10497" width="19.7109375" style="15" customWidth="1"/>
    <col min="10498" max="10498" width="18.28515625" style="15" customWidth="1"/>
    <col min="10499" max="10735" width="9.140625" style="15"/>
    <col min="10736" max="10736" width="7.7109375" style="15" customWidth="1"/>
    <col min="10737" max="10737" width="31.5703125" style="15" customWidth="1"/>
    <col min="10738" max="10738" width="24" style="15" customWidth="1"/>
    <col min="10739" max="10739" width="22.140625" style="15" customWidth="1"/>
    <col min="10740" max="10740" width="21.28515625" style="15" customWidth="1"/>
    <col min="10741" max="10741" width="20.7109375" style="15" customWidth="1"/>
    <col min="10742" max="10742" width="11.7109375" style="15" customWidth="1"/>
    <col min="10743" max="10743" width="12" style="15" customWidth="1"/>
    <col min="10744" max="10744" width="11.7109375" style="15" customWidth="1"/>
    <col min="10745" max="10745" width="25.28515625" style="15" customWidth="1"/>
    <col min="10746" max="10746" width="15.28515625" style="15" customWidth="1"/>
    <col min="10747" max="10747" width="14.5703125" style="15" customWidth="1"/>
    <col min="10748" max="10748" width="15.140625" style="15" customWidth="1"/>
    <col min="10749" max="10749" width="21.28515625" style="15" customWidth="1"/>
    <col min="10750" max="10750" width="18.7109375" style="15" customWidth="1"/>
    <col min="10751" max="10751" width="20.85546875" style="15" customWidth="1"/>
    <col min="10752" max="10752" width="20.5703125" style="15" customWidth="1"/>
    <col min="10753" max="10753" width="19.7109375" style="15" customWidth="1"/>
    <col min="10754" max="10754" width="18.28515625" style="15" customWidth="1"/>
    <col min="10755" max="10991" width="9.140625" style="15"/>
    <col min="10992" max="10992" width="7.7109375" style="15" customWidth="1"/>
    <col min="10993" max="10993" width="31.5703125" style="15" customWidth="1"/>
    <col min="10994" max="10994" width="24" style="15" customWidth="1"/>
    <col min="10995" max="10995" width="22.140625" style="15" customWidth="1"/>
    <col min="10996" max="10996" width="21.28515625" style="15" customWidth="1"/>
    <col min="10997" max="10997" width="20.7109375" style="15" customWidth="1"/>
    <col min="10998" max="10998" width="11.7109375" style="15" customWidth="1"/>
    <col min="10999" max="10999" width="12" style="15" customWidth="1"/>
    <col min="11000" max="11000" width="11.7109375" style="15" customWidth="1"/>
    <col min="11001" max="11001" width="25.28515625" style="15" customWidth="1"/>
    <col min="11002" max="11002" width="15.28515625" style="15" customWidth="1"/>
    <col min="11003" max="11003" width="14.5703125" style="15" customWidth="1"/>
    <col min="11004" max="11004" width="15.140625" style="15" customWidth="1"/>
    <col min="11005" max="11005" width="21.28515625" style="15" customWidth="1"/>
    <col min="11006" max="11006" width="18.7109375" style="15" customWidth="1"/>
    <col min="11007" max="11007" width="20.85546875" style="15" customWidth="1"/>
    <col min="11008" max="11008" width="20.5703125" style="15" customWidth="1"/>
    <col min="11009" max="11009" width="19.7109375" style="15" customWidth="1"/>
    <col min="11010" max="11010" width="18.28515625" style="15" customWidth="1"/>
    <col min="11011" max="11247" width="9.140625" style="15"/>
    <col min="11248" max="11248" width="7.7109375" style="15" customWidth="1"/>
    <col min="11249" max="11249" width="31.5703125" style="15" customWidth="1"/>
    <col min="11250" max="11250" width="24" style="15" customWidth="1"/>
    <col min="11251" max="11251" width="22.140625" style="15" customWidth="1"/>
    <col min="11252" max="11252" width="21.28515625" style="15" customWidth="1"/>
    <col min="11253" max="11253" width="20.7109375" style="15" customWidth="1"/>
    <col min="11254" max="11254" width="11.7109375" style="15" customWidth="1"/>
    <col min="11255" max="11255" width="12" style="15" customWidth="1"/>
    <col min="11256" max="11256" width="11.7109375" style="15" customWidth="1"/>
    <col min="11257" max="11257" width="25.28515625" style="15" customWidth="1"/>
    <col min="11258" max="11258" width="15.28515625" style="15" customWidth="1"/>
    <col min="11259" max="11259" width="14.5703125" style="15" customWidth="1"/>
    <col min="11260" max="11260" width="15.140625" style="15" customWidth="1"/>
    <col min="11261" max="11261" width="21.28515625" style="15" customWidth="1"/>
    <col min="11262" max="11262" width="18.7109375" style="15" customWidth="1"/>
    <col min="11263" max="11263" width="20.85546875" style="15" customWidth="1"/>
    <col min="11264" max="11264" width="20.5703125" style="15" customWidth="1"/>
    <col min="11265" max="11265" width="19.7109375" style="15" customWidth="1"/>
    <col min="11266" max="11266" width="18.28515625" style="15" customWidth="1"/>
    <col min="11267" max="11503" width="9.140625" style="15"/>
    <col min="11504" max="11504" width="7.7109375" style="15" customWidth="1"/>
    <col min="11505" max="11505" width="31.5703125" style="15" customWidth="1"/>
    <col min="11506" max="11506" width="24" style="15" customWidth="1"/>
    <col min="11507" max="11507" width="22.140625" style="15" customWidth="1"/>
    <col min="11508" max="11508" width="21.28515625" style="15" customWidth="1"/>
    <col min="11509" max="11509" width="20.7109375" style="15" customWidth="1"/>
    <col min="11510" max="11510" width="11.7109375" style="15" customWidth="1"/>
    <col min="11511" max="11511" width="12" style="15" customWidth="1"/>
    <col min="11512" max="11512" width="11.7109375" style="15" customWidth="1"/>
    <col min="11513" max="11513" width="25.28515625" style="15" customWidth="1"/>
    <col min="11514" max="11514" width="15.28515625" style="15" customWidth="1"/>
    <col min="11515" max="11515" width="14.5703125" style="15" customWidth="1"/>
    <col min="11516" max="11516" width="15.140625" style="15" customWidth="1"/>
    <col min="11517" max="11517" width="21.28515625" style="15" customWidth="1"/>
    <col min="11518" max="11518" width="18.7109375" style="15" customWidth="1"/>
    <col min="11519" max="11519" width="20.85546875" style="15" customWidth="1"/>
    <col min="11520" max="11520" width="20.5703125" style="15" customWidth="1"/>
    <col min="11521" max="11521" width="19.7109375" style="15" customWidth="1"/>
    <col min="11522" max="11522" width="18.28515625" style="15" customWidth="1"/>
    <col min="11523" max="11759" width="9.140625" style="15"/>
    <col min="11760" max="11760" width="7.7109375" style="15" customWidth="1"/>
    <col min="11761" max="11761" width="31.5703125" style="15" customWidth="1"/>
    <col min="11762" max="11762" width="24" style="15" customWidth="1"/>
    <col min="11763" max="11763" width="22.140625" style="15" customWidth="1"/>
    <col min="11764" max="11764" width="21.28515625" style="15" customWidth="1"/>
    <col min="11765" max="11765" width="20.7109375" style="15" customWidth="1"/>
    <col min="11766" max="11766" width="11.7109375" style="15" customWidth="1"/>
    <col min="11767" max="11767" width="12" style="15" customWidth="1"/>
    <col min="11768" max="11768" width="11.7109375" style="15" customWidth="1"/>
    <col min="11769" max="11769" width="25.28515625" style="15" customWidth="1"/>
    <col min="11770" max="11770" width="15.28515625" style="15" customWidth="1"/>
    <col min="11771" max="11771" width="14.5703125" style="15" customWidth="1"/>
    <col min="11772" max="11772" width="15.140625" style="15" customWidth="1"/>
    <col min="11773" max="11773" width="21.28515625" style="15" customWidth="1"/>
    <col min="11774" max="11774" width="18.7109375" style="15" customWidth="1"/>
    <col min="11775" max="11775" width="20.85546875" style="15" customWidth="1"/>
    <col min="11776" max="11776" width="20.5703125" style="15" customWidth="1"/>
    <col min="11777" max="11777" width="19.7109375" style="15" customWidth="1"/>
    <col min="11778" max="11778" width="18.28515625" style="15" customWidth="1"/>
    <col min="11779" max="12015" width="9.140625" style="15"/>
    <col min="12016" max="12016" width="7.7109375" style="15" customWidth="1"/>
    <col min="12017" max="12017" width="31.5703125" style="15" customWidth="1"/>
    <col min="12018" max="12018" width="24" style="15" customWidth="1"/>
    <col min="12019" max="12019" width="22.140625" style="15" customWidth="1"/>
    <col min="12020" max="12020" width="21.28515625" style="15" customWidth="1"/>
    <col min="12021" max="12021" width="20.7109375" style="15" customWidth="1"/>
    <col min="12022" max="12022" width="11.7109375" style="15" customWidth="1"/>
    <col min="12023" max="12023" width="12" style="15" customWidth="1"/>
    <col min="12024" max="12024" width="11.7109375" style="15" customWidth="1"/>
    <col min="12025" max="12025" width="25.28515625" style="15" customWidth="1"/>
    <col min="12026" max="12026" width="15.28515625" style="15" customWidth="1"/>
    <col min="12027" max="12027" width="14.5703125" style="15" customWidth="1"/>
    <col min="12028" max="12028" width="15.140625" style="15" customWidth="1"/>
    <col min="12029" max="12029" width="21.28515625" style="15" customWidth="1"/>
    <col min="12030" max="12030" width="18.7109375" style="15" customWidth="1"/>
    <col min="12031" max="12031" width="20.85546875" style="15" customWidth="1"/>
    <col min="12032" max="12032" width="20.5703125" style="15" customWidth="1"/>
    <col min="12033" max="12033" width="19.7109375" style="15" customWidth="1"/>
    <col min="12034" max="12034" width="18.28515625" style="15" customWidth="1"/>
    <col min="12035" max="12271" width="9.140625" style="15"/>
    <col min="12272" max="12272" width="7.7109375" style="15" customWidth="1"/>
    <col min="12273" max="12273" width="31.5703125" style="15" customWidth="1"/>
    <col min="12274" max="12274" width="24" style="15" customWidth="1"/>
    <col min="12275" max="12275" width="22.140625" style="15" customWidth="1"/>
    <col min="12276" max="12276" width="21.28515625" style="15" customWidth="1"/>
    <col min="12277" max="12277" width="20.7109375" style="15" customWidth="1"/>
    <col min="12278" max="12278" width="11.7109375" style="15" customWidth="1"/>
    <col min="12279" max="12279" width="12" style="15" customWidth="1"/>
    <col min="12280" max="12280" width="11.7109375" style="15" customWidth="1"/>
    <col min="12281" max="12281" width="25.28515625" style="15" customWidth="1"/>
    <col min="12282" max="12282" width="15.28515625" style="15" customWidth="1"/>
    <col min="12283" max="12283" width="14.5703125" style="15" customWidth="1"/>
    <col min="12284" max="12284" width="15.140625" style="15" customWidth="1"/>
    <col min="12285" max="12285" width="21.28515625" style="15" customWidth="1"/>
    <col min="12286" max="12286" width="18.7109375" style="15" customWidth="1"/>
    <col min="12287" max="12287" width="20.85546875" style="15" customWidth="1"/>
    <col min="12288" max="12288" width="20.5703125" style="15" customWidth="1"/>
    <col min="12289" max="12289" width="19.7109375" style="15" customWidth="1"/>
    <col min="12290" max="12290" width="18.28515625" style="15" customWidth="1"/>
    <col min="12291" max="12527" width="9.140625" style="15"/>
    <col min="12528" max="12528" width="7.7109375" style="15" customWidth="1"/>
    <col min="12529" max="12529" width="31.5703125" style="15" customWidth="1"/>
    <col min="12530" max="12530" width="24" style="15" customWidth="1"/>
    <col min="12531" max="12531" width="22.140625" style="15" customWidth="1"/>
    <col min="12532" max="12532" width="21.28515625" style="15" customWidth="1"/>
    <col min="12533" max="12533" width="20.7109375" style="15" customWidth="1"/>
    <col min="12534" max="12534" width="11.7109375" style="15" customWidth="1"/>
    <col min="12535" max="12535" width="12" style="15" customWidth="1"/>
    <col min="12536" max="12536" width="11.7109375" style="15" customWidth="1"/>
    <col min="12537" max="12537" width="25.28515625" style="15" customWidth="1"/>
    <col min="12538" max="12538" width="15.28515625" style="15" customWidth="1"/>
    <col min="12539" max="12539" width="14.5703125" style="15" customWidth="1"/>
    <col min="12540" max="12540" width="15.140625" style="15" customWidth="1"/>
    <col min="12541" max="12541" width="21.28515625" style="15" customWidth="1"/>
    <col min="12542" max="12542" width="18.7109375" style="15" customWidth="1"/>
    <col min="12543" max="12543" width="20.85546875" style="15" customWidth="1"/>
    <col min="12544" max="12544" width="20.5703125" style="15" customWidth="1"/>
    <col min="12545" max="12545" width="19.7109375" style="15" customWidth="1"/>
    <col min="12546" max="12546" width="18.28515625" style="15" customWidth="1"/>
    <col min="12547" max="12783" width="9.140625" style="15"/>
    <col min="12784" max="12784" width="7.7109375" style="15" customWidth="1"/>
    <col min="12785" max="12785" width="31.5703125" style="15" customWidth="1"/>
    <col min="12786" max="12786" width="24" style="15" customWidth="1"/>
    <col min="12787" max="12787" width="22.140625" style="15" customWidth="1"/>
    <col min="12788" max="12788" width="21.28515625" style="15" customWidth="1"/>
    <col min="12789" max="12789" width="20.7109375" style="15" customWidth="1"/>
    <col min="12790" max="12790" width="11.7109375" style="15" customWidth="1"/>
    <col min="12791" max="12791" width="12" style="15" customWidth="1"/>
    <col min="12792" max="12792" width="11.7109375" style="15" customWidth="1"/>
    <col min="12793" max="12793" width="25.28515625" style="15" customWidth="1"/>
    <col min="12794" max="12794" width="15.28515625" style="15" customWidth="1"/>
    <col min="12795" max="12795" width="14.5703125" style="15" customWidth="1"/>
    <col min="12796" max="12796" width="15.140625" style="15" customWidth="1"/>
    <col min="12797" max="12797" width="21.28515625" style="15" customWidth="1"/>
    <col min="12798" max="12798" width="18.7109375" style="15" customWidth="1"/>
    <col min="12799" max="12799" width="20.85546875" style="15" customWidth="1"/>
    <col min="12800" max="12800" width="20.5703125" style="15" customWidth="1"/>
    <col min="12801" max="12801" width="19.7109375" style="15" customWidth="1"/>
    <col min="12802" max="12802" width="18.28515625" style="15" customWidth="1"/>
    <col min="12803" max="13039" width="9.140625" style="15"/>
    <col min="13040" max="13040" width="7.7109375" style="15" customWidth="1"/>
    <col min="13041" max="13041" width="31.5703125" style="15" customWidth="1"/>
    <col min="13042" max="13042" width="24" style="15" customWidth="1"/>
    <col min="13043" max="13043" width="22.140625" style="15" customWidth="1"/>
    <col min="13044" max="13044" width="21.28515625" style="15" customWidth="1"/>
    <col min="13045" max="13045" width="20.7109375" style="15" customWidth="1"/>
    <col min="13046" max="13046" width="11.7109375" style="15" customWidth="1"/>
    <col min="13047" max="13047" width="12" style="15" customWidth="1"/>
    <col min="13048" max="13048" width="11.7109375" style="15" customWidth="1"/>
    <col min="13049" max="13049" width="25.28515625" style="15" customWidth="1"/>
    <col min="13050" max="13050" width="15.28515625" style="15" customWidth="1"/>
    <col min="13051" max="13051" width="14.5703125" style="15" customWidth="1"/>
    <col min="13052" max="13052" width="15.140625" style="15" customWidth="1"/>
    <col min="13053" max="13053" width="21.28515625" style="15" customWidth="1"/>
    <col min="13054" max="13054" width="18.7109375" style="15" customWidth="1"/>
    <col min="13055" max="13055" width="20.85546875" style="15" customWidth="1"/>
    <col min="13056" max="13056" width="20.5703125" style="15" customWidth="1"/>
    <col min="13057" max="13057" width="19.7109375" style="15" customWidth="1"/>
    <col min="13058" max="13058" width="18.28515625" style="15" customWidth="1"/>
    <col min="13059" max="13295" width="9.140625" style="15"/>
    <col min="13296" max="13296" width="7.7109375" style="15" customWidth="1"/>
    <col min="13297" max="13297" width="31.5703125" style="15" customWidth="1"/>
    <col min="13298" max="13298" width="24" style="15" customWidth="1"/>
    <col min="13299" max="13299" width="22.140625" style="15" customWidth="1"/>
    <col min="13300" max="13300" width="21.28515625" style="15" customWidth="1"/>
    <col min="13301" max="13301" width="20.7109375" style="15" customWidth="1"/>
    <col min="13302" max="13302" width="11.7109375" style="15" customWidth="1"/>
    <col min="13303" max="13303" width="12" style="15" customWidth="1"/>
    <col min="13304" max="13304" width="11.7109375" style="15" customWidth="1"/>
    <col min="13305" max="13305" width="25.28515625" style="15" customWidth="1"/>
    <col min="13306" max="13306" width="15.28515625" style="15" customWidth="1"/>
    <col min="13307" max="13307" width="14.5703125" style="15" customWidth="1"/>
    <col min="13308" max="13308" width="15.140625" style="15" customWidth="1"/>
    <col min="13309" max="13309" width="21.28515625" style="15" customWidth="1"/>
    <col min="13310" max="13310" width="18.7109375" style="15" customWidth="1"/>
    <col min="13311" max="13311" width="20.85546875" style="15" customWidth="1"/>
    <col min="13312" max="13312" width="20.5703125" style="15" customWidth="1"/>
    <col min="13313" max="13313" width="19.7109375" style="15" customWidth="1"/>
    <col min="13314" max="13314" width="18.28515625" style="15" customWidth="1"/>
    <col min="13315" max="13551" width="9.140625" style="15"/>
    <col min="13552" max="13552" width="7.7109375" style="15" customWidth="1"/>
    <col min="13553" max="13553" width="31.5703125" style="15" customWidth="1"/>
    <col min="13554" max="13554" width="24" style="15" customWidth="1"/>
    <col min="13555" max="13555" width="22.140625" style="15" customWidth="1"/>
    <col min="13556" max="13556" width="21.28515625" style="15" customWidth="1"/>
    <col min="13557" max="13557" width="20.7109375" style="15" customWidth="1"/>
    <col min="13558" max="13558" width="11.7109375" style="15" customWidth="1"/>
    <col min="13559" max="13559" width="12" style="15" customWidth="1"/>
    <col min="13560" max="13560" width="11.7109375" style="15" customWidth="1"/>
    <col min="13561" max="13561" width="25.28515625" style="15" customWidth="1"/>
    <col min="13562" max="13562" width="15.28515625" style="15" customWidth="1"/>
    <col min="13563" max="13563" width="14.5703125" style="15" customWidth="1"/>
    <col min="13564" max="13564" width="15.140625" style="15" customWidth="1"/>
    <col min="13565" max="13565" width="21.28515625" style="15" customWidth="1"/>
    <col min="13566" max="13566" width="18.7109375" style="15" customWidth="1"/>
    <col min="13567" max="13567" width="20.85546875" style="15" customWidth="1"/>
    <col min="13568" max="13568" width="20.5703125" style="15" customWidth="1"/>
    <col min="13569" max="13569" width="19.7109375" style="15" customWidth="1"/>
    <col min="13570" max="13570" width="18.28515625" style="15" customWidth="1"/>
    <col min="13571" max="13807" width="9.140625" style="15"/>
    <col min="13808" max="13808" width="7.7109375" style="15" customWidth="1"/>
    <col min="13809" max="13809" width="31.5703125" style="15" customWidth="1"/>
    <col min="13810" max="13810" width="24" style="15" customWidth="1"/>
    <col min="13811" max="13811" width="22.140625" style="15" customWidth="1"/>
    <col min="13812" max="13812" width="21.28515625" style="15" customWidth="1"/>
    <col min="13813" max="13813" width="20.7109375" style="15" customWidth="1"/>
    <col min="13814" max="13814" width="11.7109375" style="15" customWidth="1"/>
    <col min="13815" max="13815" width="12" style="15" customWidth="1"/>
    <col min="13816" max="13816" width="11.7109375" style="15" customWidth="1"/>
    <col min="13817" max="13817" width="25.28515625" style="15" customWidth="1"/>
    <col min="13818" max="13818" width="15.28515625" style="15" customWidth="1"/>
    <col min="13819" max="13819" width="14.5703125" style="15" customWidth="1"/>
    <col min="13820" max="13820" width="15.140625" style="15" customWidth="1"/>
    <col min="13821" max="13821" width="21.28515625" style="15" customWidth="1"/>
    <col min="13822" max="13822" width="18.7109375" style="15" customWidth="1"/>
    <col min="13823" max="13823" width="20.85546875" style="15" customWidth="1"/>
    <col min="13824" max="13824" width="20.5703125" style="15" customWidth="1"/>
    <col min="13825" max="13825" width="19.7109375" style="15" customWidth="1"/>
    <col min="13826" max="13826" width="18.28515625" style="15" customWidth="1"/>
    <col min="13827" max="14063" width="9.140625" style="15"/>
    <col min="14064" max="14064" width="7.7109375" style="15" customWidth="1"/>
    <col min="14065" max="14065" width="31.5703125" style="15" customWidth="1"/>
    <col min="14066" max="14066" width="24" style="15" customWidth="1"/>
    <col min="14067" max="14067" width="22.140625" style="15" customWidth="1"/>
    <col min="14068" max="14068" width="21.28515625" style="15" customWidth="1"/>
    <col min="14069" max="14069" width="20.7109375" style="15" customWidth="1"/>
    <col min="14070" max="14070" width="11.7109375" style="15" customWidth="1"/>
    <col min="14071" max="14071" width="12" style="15" customWidth="1"/>
    <col min="14072" max="14072" width="11.7109375" style="15" customWidth="1"/>
    <col min="14073" max="14073" width="25.28515625" style="15" customWidth="1"/>
    <col min="14074" max="14074" width="15.28515625" style="15" customWidth="1"/>
    <col min="14075" max="14075" width="14.5703125" style="15" customWidth="1"/>
    <col min="14076" max="14076" width="15.140625" style="15" customWidth="1"/>
    <col min="14077" max="14077" width="21.28515625" style="15" customWidth="1"/>
    <col min="14078" max="14078" width="18.7109375" style="15" customWidth="1"/>
    <col min="14079" max="14079" width="20.85546875" style="15" customWidth="1"/>
    <col min="14080" max="14080" width="20.5703125" style="15" customWidth="1"/>
    <col min="14081" max="14081" width="19.7109375" style="15" customWidth="1"/>
    <col min="14082" max="14082" width="18.28515625" style="15" customWidth="1"/>
    <col min="14083" max="14319" width="9.140625" style="15"/>
    <col min="14320" max="14320" width="7.7109375" style="15" customWidth="1"/>
    <col min="14321" max="14321" width="31.5703125" style="15" customWidth="1"/>
    <col min="14322" max="14322" width="24" style="15" customWidth="1"/>
    <col min="14323" max="14323" width="22.140625" style="15" customWidth="1"/>
    <col min="14324" max="14324" width="21.28515625" style="15" customWidth="1"/>
    <col min="14325" max="14325" width="20.7109375" style="15" customWidth="1"/>
    <col min="14326" max="14326" width="11.7109375" style="15" customWidth="1"/>
    <col min="14327" max="14327" width="12" style="15" customWidth="1"/>
    <col min="14328" max="14328" width="11.7109375" style="15" customWidth="1"/>
    <col min="14329" max="14329" width="25.28515625" style="15" customWidth="1"/>
    <col min="14330" max="14330" width="15.28515625" style="15" customWidth="1"/>
    <col min="14331" max="14331" width="14.5703125" style="15" customWidth="1"/>
    <col min="14332" max="14332" width="15.140625" style="15" customWidth="1"/>
    <col min="14333" max="14333" width="21.28515625" style="15" customWidth="1"/>
    <col min="14334" max="14334" width="18.7109375" style="15" customWidth="1"/>
    <col min="14335" max="14335" width="20.85546875" style="15" customWidth="1"/>
    <col min="14336" max="14336" width="20.5703125" style="15" customWidth="1"/>
    <col min="14337" max="14337" width="19.7109375" style="15" customWidth="1"/>
    <col min="14338" max="14338" width="18.28515625" style="15" customWidth="1"/>
    <col min="14339" max="14575" width="9.140625" style="15"/>
    <col min="14576" max="14576" width="7.7109375" style="15" customWidth="1"/>
    <col min="14577" max="14577" width="31.5703125" style="15" customWidth="1"/>
    <col min="14578" max="14578" width="24" style="15" customWidth="1"/>
    <col min="14579" max="14579" width="22.140625" style="15" customWidth="1"/>
    <col min="14580" max="14580" width="21.28515625" style="15" customWidth="1"/>
    <col min="14581" max="14581" width="20.7109375" style="15" customWidth="1"/>
    <col min="14582" max="14582" width="11.7109375" style="15" customWidth="1"/>
    <col min="14583" max="14583" width="12" style="15" customWidth="1"/>
    <col min="14584" max="14584" width="11.7109375" style="15" customWidth="1"/>
    <col min="14585" max="14585" width="25.28515625" style="15" customWidth="1"/>
    <col min="14586" max="14586" width="15.28515625" style="15" customWidth="1"/>
    <col min="14587" max="14587" width="14.5703125" style="15" customWidth="1"/>
    <col min="14588" max="14588" width="15.140625" style="15" customWidth="1"/>
    <col min="14589" max="14589" width="21.28515625" style="15" customWidth="1"/>
    <col min="14590" max="14590" width="18.7109375" style="15" customWidth="1"/>
    <col min="14591" max="14591" width="20.85546875" style="15" customWidth="1"/>
    <col min="14592" max="14592" width="20.5703125" style="15" customWidth="1"/>
    <col min="14593" max="14593" width="19.7109375" style="15" customWidth="1"/>
    <col min="14594" max="14594" width="18.28515625" style="15" customWidth="1"/>
    <col min="14595" max="14831" width="9.140625" style="15"/>
    <col min="14832" max="14832" width="7.7109375" style="15" customWidth="1"/>
    <col min="14833" max="14833" width="31.5703125" style="15" customWidth="1"/>
    <col min="14834" max="14834" width="24" style="15" customWidth="1"/>
    <col min="14835" max="14835" width="22.140625" style="15" customWidth="1"/>
    <col min="14836" max="14836" width="21.28515625" style="15" customWidth="1"/>
    <col min="14837" max="14837" width="20.7109375" style="15" customWidth="1"/>
    <col min="14838" max="14838" width="11.7109375" style="15" customWidth="1"/>
    <col min="14839" max="14839" width="12" style="15" customWidth="1"/>
    <col min="14840" max="14840" width="11.7109375" style="15" customWidth="1"/>
    <col min="14841" max="14841" width="25.28515625" style="15" customWidth="1"/>
    <col min="14842" max="14842" width="15.28515625" style="15" customWidth="1"/>
    <col min="14843" max="14843" width="14.5703125" style="15" customWidth="1"/>
    <col min="14844" max="14844" width="15.140625" style="15" customWidth="1"/>
    <col min="14845" max="14845" width="21.28515625" style="15" customWidth="1"/>
    <col min="14846" max="14846" width="18.7109375" style="15" customWidth="1"/>
    <col min="14847" max="14847" width="20.85546875" style="15" customWidth="1"/>
    <col min="14848" max="14848" width="20.5703125" style="15" customWidth="1"/>
    <col min="14849" max="14849" width="19.7109375" style="15" customWidth="1"/>
    <col min="14850" max="14850" width="18.28515625" style="15" customWidth="1"/>
    <col min="14851" max="15087" width="9.140625" style="15"/>
    <col min="15088" max="15088" width="7.7109375" style="15" customWidth="1"/>
    <col min="15089" max="15089" width="31.5703125" style="15" customWidth="1"/>
    <col min="15090" max="15090" width="24" style="15" customWidth="1"/>
    <col min="15091" max="15091" width="22.140625" style="15" customWidth="1"/>
    <col min="15092" max="15092" width="21.28515625" style="15" customWidth="1"/>
    <col min="15093" max="15093" width="20.7109375" style="15" customWidth="1"/>
    <col min="15094" max="15094" width="11.7109375" style="15" customWidth="1"/>
    <col min="15095" max="15095" width="12" style="15" customWidth="1"/>
    <col min="15096" max="15096" width="11.7109375" style="15" customWidth="1"/>
    <col min="15097" max="15097" width="25.28515625" style="15" customWidth="1"/>
    <col min="15098" max="15098" width="15.28515625" style="15" customWidth="1"/>
    <col min="15099" max="15099" width="14.5703125" style="15" customWidth="1"/>
    <col min="15100" max="15100" width="15.140625" style="15" customWidth="1"/>
    <col min="15101" max="15101" width="21.28515625" style="15" customWidth="1"/>
    <col min="15102" max="15102" width="18.7109375" style="15" customWidth="1"/>
    <col min="15103" max="15103" width="20.85546875" style="15" customWidth="1"/>
    <col min="15104" max="15104" width="20.5703125" style="15" customWidth="1"/>
    <col min="15105" max="15105" width="19.7109375" style="15" customWidth="1"/>
    <col min="15106" max="15106" width="18.28515625" style="15" customWidth="1"/>
    <col min="15107" max="15343" width="9.140625" style="15"/>
    <col min="15344" max="15344" width="7.7109375" style="15" customWidth="1"/>
    <col min="15345" max="15345" width="31.5703125" style="15" customWidth="1"/>
    <col min="15346" max="15346" width="24" style="15" customWidth="1"/>
    <col min="15347" max="15347" width="22.140625" style="15" customWidth="1"/>
    <col min="15348" max="15348" width="21.28515625" style="15" customWidth="1"/>
    <col min="15349" max="15349" width="20.7109375" style="15" customWidth="1"/>
    <col min="15350" max="15350" width="11.7109375" style="15" customWidth="1"/>
    <col min="15351" max="15351" width="12" style="15" customWidth="1"/>
    <col min="15352" max="15352" width="11.7109375" style="15" customWidth="1"/>
    <col min="15353" max="15353" width="25.28515625" style="15" customWidth="1"/>
    <col min="15354" max="15354" width="15.28515625" style="15" customWidth="1"/>
    <col min="15355" max="15355" width="14.5703125" style="15" customWidth="1"/>
    <col min="15356" max="15356" width="15.140625" style="15" customWidth="1"/>
    <col min="15357" max="15357" width="21.28515625" style="15" customWidth="1"/>
    <col min="15358" max="15358" width="18.7109375" style="15" customWidth="1"/>
    <col min="15359" max="15359" width="20.85546875" style="15" customWidth="1"/>
    <col min="15360" max="15360" width="20.5703125" style="15" customWidth="1"/>
    <col min="15361" max="15361" width="19.7109375" style="15" customWidth="1"/>
    <col min="15362" max="15362" width="18.28515625" style="15" customWidth="1"/>
    <col min="15363" max="15599" width="9.140625" style="15"/>
    <col min="15600" max="15600" width="7.7109375" style="15" customWidth="1"/>
    <col min="15601" max="15601" width="31.5703125" style="15" customWidth="1"/>
    <col min="15602" max="15602" width="24" style="15" customWidth="1"/>
    <col min="15603" max="15603" width="22.140625" style="15" customWidth="1"/>
    <col min="15604" max="15604" width="21.28515625" style="15" customWidth="1"/>
    <col min="15605" max="15605" width="20.7109375" style="15" customWidth="1"/>
    <col min="15606" max="15606" width="11.7109375" style="15" customWidth="1"/>
    <col min="15607" max="15607" width="12" style="15" customWidth="1"/>
    <col min="15608" max="15608" width="11.7109375" style="15" customWidth="1"/>
    <col min="15609" max="15609" width="25.28515625" style="15" customWidth="1"/>
    <col min="15610" max="15610" width="15.28515625" style="15" customWidth="1"/>
    <col min="15611" max="15611" width="14.5703125" style="15" customWidth="1"/>
    <col min="15612" max="15612" width="15.140625" style="15" customWidth="1"/>
    <col min="15613" max="15613" width="21.28515625" style="15" customWidth="1"/>
    <col min="15614" max="15614" width="18.7109375" style="15" customWidth="1"/>
    <col min="15615" max="15615" width="20.85546875" style="15" customWidth="1"/>
    <col min="15616" max="15616" width="20.5703125" style="15" customWidth="1"/>
    <col min="15617" max="15617" width="19.7109375" style="15" customWidth="1"/>
    <col min="15618" max="15618" width="18.28515625" style="15" customWidth="1"/>
    <col min="15619" max="15855" width="9.140625" style="15"/>
    <col min="15856" max="15856" width="7.7109375" style="15" customWidth="1"/>
    <col min="15857" max="15857" width="31.5703125" style="15" customWidth="1"/>
    <col min="15858" max="15858" width="24" style="15" customWidth="1"/>
    <col min="15859" max="15859" width="22.140625" style="15" customWidth="1"/>
    <col min="15860" max="15860" width="21.28515625" style="15" customWidth="1"/>
    <col min="15861" max="15861" width="20.7109375" style="15" customWidth="1"/>
    <col min="15862" max="15862" width="11.7109375" style="15" customWidth="1"/>
    <col min="15863" max="15863" width="12" style="15" customWidth="1"/>
    <col min="15864" max="15864" width="11.7109375" style="15" customWidth="1"/>
    <col min="15865" max="15865" width="25.28515625" style="15" customWidth="1"/>
    <col min="15866" max="15866" width="15.28515625" style="15" customWidth="1"/>
    <col min="15867" max="15867" width="14.5703125" style="15" customWidth="1"/>
    <col min="15868" max="15868" width="15.140625" style="15" customWidth="1"/>
    <col min="15869" max="15869" width="21.28515625" style="15" customWidth="1"/>
    <col min="15870" max="15870" width="18.7109375" style="15" customWidth="1"/>
    <col min="15871" max="15871" width="20.85546875" style="15" customWidth="1"/>
    <col min="15872" max="15872" width="20.5703125" style="15" customWidth="1"/>
    <col min="15873" max="15873" width="19.7109375" style="15" customWidth="1"/>
    <col min="15874" max="15874" width="18.28515625" style="15" customWidth="1"/>
    <col min="15875" max="16111" width="9.140625" style="15"/>
    <col min="16112" max="16112" width="7.7109375" style="15" customWidth="1"/>
    <col min="16113" max="16113" width="31.5703125" style="15" customWidth="1"/>
    <col min="16114" max="16114" width="24" style="15" customWidth="1"/>
    <col min="16115" max="16115" width="22.140625" style="15" customWidth="1"/>
    <col min="16116" max="16116" width="21.28515625" style="15" customWidth="1"/>
    <col min="16117" max="16117" width="20.7109375" style="15" customWidth="1"/>
    <col min="16118" max="16118" width="11.7109375" style="15" customWidth="1"/>
    <col min="16119" max="16119" width="12" style="15" customWidth="1"/>
    <col min="16120" max="16120" width="11.7109375" style="15" customWidth="1"/>
    <col min="16121" max="16121" width="25.28515625" style="15" customWidth="1"/>
    <col min="16122" max="16122" width="15.28515625" style="15" customWidth="1"/>
    <col min="16123" max="16123" width="14.5703125" style="15" customWidth="1"/>
    <col min="16124" max="16124" width="15.140625" style="15" customWidth="1"/>
    <col min="16125" max="16125" width="21.28515625" style="15" customWidth="1"/>
    <col min="16126" max="16126" width="18.7109375" style="15" customWidth="1"/>
    <col min="16127" max="16127" width="20.85546875" style="15" customWidth="1"/>
    <col min="16128" max="16128" width="20.5703125" style="15" customWidth="1"/>
    <col min="16129" max="16129" width="19.7109375" style="15" customWidth="1"/>
    <col min="16130" max="16130" width="18.28515625" style="15" customWidth="1"/>
    <col min="16131" max="16384" width="9.140625" style="15"/>
  </cols>
  <sheetData>
    <row r="1" spans="1:17" ht="42" customHeight="1" x14ac:dyDescent="0.25">
      <c r="A1" s="48" t="s">
        <v>46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ht="26.25" customHeight="1" x14ac:dyDescent="0.25">
      <c r="A2" s="49" t="s">
        <v>0</v>
      </c>
      <c r="B2" s="49" t="s">
        <v>1</v>
      </c>
      <c r="C2" s="46" t="s">
        <v>42</v>
      </c>
      <c r="D2" s="46" t="s">
        <v>2</v>
      </c>
      <c r="E2" s="46" t="s">
        <v>3</v>
      </c>
      <c r="F2" s="46" t="s">
        <v>43</v>
      </c>
      <c r="G2" s="46"/>
      <c r="H2" s="46"/>
      <c r="I2" s="46" t="s">
        <v>4</v>
      </c>
      <c r="J2" s="46" t="s">
        <v>5</v>
      </c>
      <c r="K2" s="46"/>
      <c r="L2" s="46"/>
      <c r="M2" s="46" t="s">
        <v>6</v>
      </c>
      <c r="N2" s="46" t="s">
        <v>7</v>
      </c>
      <c r="O2" s="49" t="s">
        <v>8</v>
      </c>
      <c r="P2" s="49" t="s">
        <v>9</v>
      </c>
      <c r="Q2" s="49" t="s">
        <v>10</v>
      </c>
    </row>
    <row r="3" spans="1:17" ht="64.5" customHeight="1" x14ac:dyDescent="0.25">
      <c r="A3" s="49"/>
      <c r="B3" s="49"/>
      <c r="C3" s="46"/>
      <c r="D3" s="46"/>
      <c r="E3" s="46"/>
      <c r="F3" s="21" t="s">
        <v>11</v>
      </c>
      <c r="G3" s="21" t="s">
        <v>12</v>
      </c>
      <c r="H3" s="21" t="s">
        <v>13</v>
      </c>
      <c r="I3" s="46"/>
      <c r="J3" s="22">
        <v>0.2</v>
      </c>
      <c r="K3" s="22">
        <v>0.5</v>
      </c>
      <c r="L3" s="22">
        <v>0.7</v>
      </c>
      <c r="M3" s="46"/>
      <c r="N3" s="46"/>
      <c r="O3" s="49"/>
      <c r="P3" s="49"/>
      <c r="Q3" s="49"/>
    </row>
    <row r="4" spans="1:17" ht="12.75" customHeight="1" x14ac:dyDescent="0.25">
      <c r="A4" s="23">
        <v>1</v>
      </c>
      <c r="B4" s="23">
        <v>2</v>
      </c>
      <c r="C4" s="23">
        <v>3</v>
      </c>
      <c r="D4" s="23">
        <v>4</v>
      </c>
      <c r="E4" s="23">
        <v>5</v>
      </c>
      <c r="F4" s="21">
        <v>6</v>
      </c>
      <c r="G4" s="21">
        <v>7</v>
      </c>
      <c r="H4" s="21">
        <v>8</v>
      </c>
      <c r="I4" s="23">
        <v>9</v>
      </c>
      <c r="J4" s="23">
        <v>10</v>
      </c>
      <c r="K4" s="23">
        <v>11</v>
      </c>
      <c r="L4" s="23">
        <v>12</v>
      </c>
      <c r="M4" s="23">
        <v>13</v>
      </c>
      <c r="N4" s="23">
        <v>14</v>
      </c>
      <c r="O4" s="23">
        <v>15</v>
      </c>
      <c r="P4" s="23">
        <v>16</v>
      </c>
      <c r="Q4" s="23">
        <v>17</v>
      </c>
    </row>
    <row r="5" spans="1:17" s="16" customFormat="1" x14ac:dyDescent="0.2">
      <c r="A5" s="24">
        <v>1</v>
      </c>
      <c r="B5" s="25" t="s">
        <v>14</v>
      </c>
      <c r="C5" s="26">
        <f>C6+C7</f>
        <v>26</v>
      </c>
      <c r="D5" s="26">
        <f t="shared" ref="D5" si="0">D6+D7</f>
        <v>7910</v>
      </c>
      <c r="E5" s="26">
        <f>E6+E7</f>
        <v>7203</v>
      </c>
      <c r="F5" s="26">
        <f>F6+F7</f>
        <v>3396</v>
      </c>
      <c r="G5" s="26">
        <f t="shared" ref="G5:H5" si="1">G6+G7</f>
        <v>3258</v>
      </c>
      <c r="H5" s="26">
        <f t="shared" si="1"/>
        <v>549</v>
      </c>
      <c r="I5" s="26"/>
      <c r="J5" s="27">
        <f>J6+J7</f>
        <v>1920520</v>
      </c>
      <c r="K5" s="27">
        <f t="shared" ref="K5:N5" si="2">K6+K7</f>
        <v>4537226</v>
      </c>
      <c r="L5" s="27">
        <f t="shared" si="2"/>
        <v>1074949.3999999999</v>
      </c>
      <c r="M5" s="27">
        <f t="shared" si="2"/>
        <v>7532695.4000000004</v>
      </c>
      <c r="N5" s="27">
        <f t="shared" si="2"/>
        <v>67798.399999999994</v>
      </c>
      <c r="O5" s="37"/>
      <c r="P5" s="27">
        <f t="shared" ref="P5:Q5" si="3">P6+P7</f>
        <v>4912</v>
      </c>
      <c r="Q5" s="27">
        <f t="shared" si="3"/>
        <v>72710.399999999994</v>
      </c>
    </row>
    <row r="6" spans="1:17" x14ac:dyDescent="0.25">
      <c r="A6" s="23"/>
      <c r="B6" s="28" t="s">
        <v>15</v>
      </c>
      <c r="C6" s="21">
        <v>22</v>
      </c>
      <c r="D6" s="21">
        <f>7055-197</f>
        <v>6858</v>
      </c>
      <c r="E6" s="21">
        <f>F6+G6+H6</f>
        <v>6151</v>
      </c>
      <c r="F6" s="29">
        <f>3186-200</f>
        <v>2986</v>
      </c>
      <c r="G6" s="29">
        <f>3002-300</f>
        <v>2702</v>
      </c>
      <c r="H6" s="29">
        <f>863-400</f>
        <v>463</v>
      </c>
      <c r="I6" s="21">
        <v>2930</v>
      </c>
      <c r="J6" s="30">
        <f t="shared" ref="J6:J7" si="4">(I6*F6*0.2)</f>
        <v>1749796</v>
      </c>
      <c r="K6" s="30">
        <f t="shared" ref="K6:K7" si="5">(I6*G6*0.5)</f>
        <v>3958430</v>
      </c>
      <c r="L6" s="30">
        <f t="shared" ref="L6:L7" si="6">(I6*H6*0.7)</f>
        <v>949612.99999999988</v>
      </c>
      <c r="M6" s="30">
        <f>J6+K6+L6</f>
        <v>6657839</v>
      </c>
      <c r="N6" s="30">
        <f>ROUND((M6*9/1000),0)+3.4</f>
        <v>59924.4</v>
      </c>
      <c r="O6" s="30">
        <v>621</v>
      </c>
      <c r="P6" s="30">
        <f>ROUND(D6*O6/1000,0)</f>
        <v>4259</v>
      </c>
      <c r="Q6" s="30">
        <f>N6+P6</f>
        <v>64183.4</v>
      </c>
    </row>
    <row r="7" spans="1:17" x14ac:dyDescent="0.25">
      <c r="A7" s="23"/>
      <c r="B7" s="28" t="s">
        <v>16</v>
      </c>
      <c r="C7" s="21">
        <v>4</v>
      </c>
      <c r="D7" s="21">
        <v>1052</v>
      </c>
      <c r="E7" s="21">
        <f>F7+G7+H7</f>
        <v>1052</v>
      </c>
      <c r="F7" s="29">
        <f>213+197</f>
        <v>410</v>
      </c>
      <c r="G7" s="29">
        <v>556</v>
      </c>
      <c r="H7" s="29">
        <v>86</v>
      </c>
      <c r="I7" s="21">
        <v>2082</v>
      </c>
      <c r="J7" s="30">
        <f t="shared" si="4"/>
        <v>170724</v>
      </c>
      <c r="K7" s="30">
        <f t="shared" si="5"/>
        <v>578796</v>
      </c>
      <c r="L7" s="30">
        <f t="shared" si="6"/>
        <v>125336.4</v>
      </c>
      <c r="M7" s="30">
        <f>J7+K7+L7</f>
        <v>874856.4</v>
      </c>
      <c r="N7" s="30">
        <f>ROUND((M7*9/1000),0)</f>
        <v>7874</v>
      </c>
      <c r="O7" s="30">
        <v>621</v>
      </c>
      <c r="P7" s="30">
        <f>ROUND(D7*O7/1000,0)</f>
        <v>653</v>
      </c>
      <c r="Q7" s="30">
        <f>N7+P7</f>
        <v>8527</v>
      </c>
    </row>
    <row r="8" spans="1:17" s="16" customFormat="1" x14ac:dyDescent="0.2">
      <c r="A8" s="24">
        <v>2</v>
      </c>
      <c r="B8" s="25" t="s">
        <v>17</v>
      </c>
      <c r="C8" s="26">
        <f>C9+C10</f>
        <v>58</v>
      </c>
      <c r="D8" s="26">
        <f t="shared" ref="D8" si="7">D9+D10</f>
        <v>32099</v>
      </c>
      <c r="E8" s="26">
        <f>E9+E10</f>
        <v>25058</v>
      </c>
      <c r="F8" s="26">
        <f>F9+F10</f>
        <v>11828</v>
      </c>
      <c r="G8" s="26">
        <f t="shared" ref="G8:H8" si="8">G9+G10</f>
        <v>10744</v>
      </c>
      <c r="H8" s="26">
        <f t="shared" si="8"/>
        <v>2486</v>
      </c>
      <c r="I8" s="31"/>
      <c r="J8" s="27">
        <f>J9+J10</f>
        <v>6028989.6000000006</v>
      </c>
      <c r="K8" s="27">
        <f t="shared" ref="K8:N8" si="9">K9+K10</f>
        <v>13694528</v>
      </c>
      <c r="L8" s="27">
        <f t="shared" si="9"/>
        <v>4452817.5999999996</v>
      </c>
      <c r="M8" s="27">
        <f t="shared" si="9"/>
        <v>24176335.200000003</v>
      </c>
      <c r="N8" s="27">
        <f t="shared" si="9"/>
        <v>217587</v>
      </c>
      <c r="O8" s="37"/>
      <c r="P8" s="27">
        <f t="shared" ref="P8:Q8" si="10">P9+P10</f>
        <v>19934</v>
      </c>
      <c r="Q8" s="27">
        <f t="shared" si="10"/>
        <v>237521</v>
      </c>
    </row>
    <row r="9" spans="1:17" x14ac:dyDescent="0.25">
      <c r="A9" s="23"/>
      <c r="B9" s="28" t="s">
        <v>15</v>
      </c>
      <c r="C9" s="21">
        <v>52</v>
      </c>
      <c r="D9" s="21">
        <v>30703</v>
      </c>
      <c r="E9" s="21">
        <f>F9+G9+H9</f>
        <v>24224</v>
      </c>
      <c r="F9" s="29">
        <f>12903-1500</f>
        <v>11403</v>
      </c>
      <c r="G9" s="29">
        <f>11172-800</f>
        <v>10372</v>
      </c>
      <c r="H9" s="29">
        <f>3249-800</f>
        <v>2449</v>
      </c>
      <c r="I9" s="21">
        <v>2566</v>
      </c>
      <c r="J9" s="30">
        <f t="shared" ref="J9:J10" si="11">(I9*F9*0.2)</f>
        <v>5852019.6000000006</v>
      </c>
      <c r="K9" s="30">
        <f t="shared" ref="K9:K10" si="12">(I9*G9*0.5)</f>
        <v>13307276</v>
      </c>
      <c r="L9" s="30">
        <f t="shared" ref="L9:L10" si="13">(I9*H9*0.7)</f>
        <v>4398893.8</v>
      </c>
      <c r="M9" s="30">
        <f t="shared" ref="M9:M10" si="14">J9+K9+L9</f>
        <v>23558189.400000002</v>
      </c>
      <c r="N9" s="30">
        <f t="shared" ref="N9:N10" si="15">ROUND((M9*9/1000),0)</f>
        <v>212024</v>
      </c>
      <c r="O9" s="30">
        <v>621</v>
      </c>
      <c r="P9" s="30">
        <f>ROUND(D9*O9/1000,0)</f>
        <v>19067</v>
      </c>
      <c r="Q9" s="30">
        <f t="shared" ref="Q9:Q10" si="16">N9+P9</f>
        <v>231091</v>
      </c>
    </row>
    <row r="10" spans="1:17" x14ac:dyDescent="0.25">
      <c r="A10" s="23"/>
      <c r="B10" s="28" t="s">
        <v>16</v>
      </c>
      <c r="C10" s="21">
        <v>6</v>
      </c>
      <c r="D10" s="21">
        <v>1396</v>
      </c>
      <c r="E10" s="21">
        <f>F10+G10+H10</f>
        <v>834</v>
      </c>
      <c r="F10" s="29">
        <v>425</v>
      </c>
      <c r="G10" s="29">
        <v>372</v>
      </c>
      <c r="H10" s="29">
        <v>37</v>
      </c>
      <c r="I10" s="21">
        <v>2082</v>
      </c>
      <c r="J10" s="30">
        <f t="shared" si="11"/>
        <v>176970</v>
      </c>
      <c r="K10" s="30">
        <f t="shared" si="12"/>
        <v>387252</v>
      </c>
      <c r="L10" s="30">
        <f t="shared" si="13"/>
        <v>53923.799999999996</v>
      </c>
      <c r="M10" s="30">
        <f t="shared" si="14"/>
        <v>618145.80000000005</v>
      </c>
      <c r="N10" s="30">
        <f t="shared" si="15"/>
        <v>5563</v>
      </c>
      <c r="O10" s="30">
        <v>621</v>
      </c>
      <c r="P10" s="30">
        <f>ROUND(D10*O10/1000,0)</f>
        <v>867</v>
      </c>
      <c r="Q10" s="30">
        <f t="shared" si="16"/>
        <v>6430</v>
      </c>
    </row>
    <row r="11" spans="1:17" s="16" customFormat="1" x14ac:dyDescent="0.2">
      <c r="A11" s="24">
        <v>3</v>
      </c>
      <c r="B11" s="25" t="s">
        <v>18</v>
      </c>
      <c r="C11" s="31">
        <f>C12+C13</f>
        <v>20</v>
      </c>
      <c r="D11" s="31">
        <f t="shared" ref="D11:E11" si="17">D12+D13</f>
        <v>9128</v>
      </c>
      <c r="E11" s="31">
        <f t="shared" si="17"/>
        <v>5746</v>
      </c>
      <c r="F11" s="31">
        <f>F12+F13</f>
        <v>3257</v>
      </c>
      <c r="G11" s="31">
        <f t="shared" ref="G11:H11" si="18">G12+G13</f>
        <v>2056</v>
      </c>
      <c r="H11" s="31">
        <f t="shared" si="18"/>
        <v>433</v>
      </c>
      <c r="I11" s="31"/>
      <c r="J11" s="27">
        <f>J12+J13</f>
        <v>2880867.0000000005</v>
      </c>
      <c r="K11" s="27">
        <f t="shared" ref="K11:N11" si="19">K12+K13</f>
        <v>4500973.5</v>
      </c>
      <c r="L11" s="27">
        <f t="shared" si="19"/>
        <v>1293835.2</v>
      </c>
      <c r="M11" s="27">
        <f t="shared" si="19"/>
        <v>8675675.7000000011</v>
      </c>
      <c r="N11" s="27">
        <f t="shared" si="19"/>
        <v>78081</v>
      </c>
      <c r="O11" s="32"/>
      <c r="P11" s="27">
        <f t="shared" ref="P11:Q11" si="20">P12+P13</f>
        <v>5669</v>
      </c>
      <c r="Q11" s="27">
        <f t="shared" si="20"/>
        <v>83750</v>
      </c>
    </row>
    <row r="12" spans="1:17" x14ac:dyDescent="0.25">
      <c r="A12" s="23"/>
      <c r="B12" s="28" t="s">
        <v>15</v>
      </c>
      <c r="C12" s="21">
        <v>16</v>
      </c>
      <c r="D12" s="21">
        <v>8576</v>
      </c>
      <c r="E12" s="21">
        <f t="shared" ref="E12:E16" si="21">F12+G12+H12</f>
        <v>5194</v>
      </c>
      <c r="F12" s="29">
        <f>3479-500</f>
        <v>2979</v>
      </c>
      <c r="G12" s="29">
        <f>2245-400</f>
        <v>1845</v>
      </c>
      <c r="H12" s="29">
        <f>770-400</f>
        <v>370</v>
      </c>
      <c r="I12" s="21">
        <v>4641</v>
      </c>
      <c r="J12" s="30">
        <f t="shared" ref="J12:J13" si="22">(I12*F12*0.2)</f>
        <v>2765107.8000000003</v>
      </c>
      <c r="K12" s="30">
        <f t="shared" ref="K12:K13" si="23">(I12*G12*0.5)</f>
        <v>4281322.5</v>
      </c>
      <c r="L12" s="30">
        <f t="shared" ref="L12:L13" si="24">(I12*H12*0.7)</f>
        <v>1202019</v>
      </c>
      <c r="M12" s="30">
        <f t="shared" ref="M12:M13" si="25">J12+K12+L12</f>
        <v>8248449.3000000007</v>
      </c>
      <c r="N12" s="30">
        <f t="shared" ref="N12:N13" si="26">ROUND((M12*9/1000),0)</f>
        <v>74236</v>
      </c>
      <c r="O12" s="30">
        <v>621</v>
      </c>
      <c r="P12" s="30">
        <f>ROUND(D12*O12/1000,0)</f>
        <v>5326</v>
      </c>
      <c r="Q12" s="30">
        <f t="shared" ref="Q12:Q13" si="27">N12+P12</f>
        <v>79562</v>
      </c>
    </row>
    <row r="13" spans="1:17" x14ac:dyDescent="0.25">
      <c r="A13" s="23"/>
      <c r="B13" s="28" t="s">
        <v>16</v>
      </c>
      <c r="C13" s="21">
        <v>4</v>
      </c>
      <c r="D13" s="21">
        <v>552</v>
      </c>
      <c r="E13" s="21">
        <f t="shared" si="21"/>
        <v>552</v>
      </c>
      <c r="F13" s="21">
        <v>278</v>
      </c>
      <c r="G13" s="21">
        <v>211</v>
      </c>
      <c r="H13" s="29">
        <v>63</v>
      </c>
      <c r="I13" s="21">
        <v>2082</v>
      </c>
      <c r="J13" s="30">
        <f t="shared" si="22"/>
        <v>115759.20000000001</v>
      </c>
      <c r="K13" s="30">
        <f t="shared" si="23"/>
        <v>219651</v>
      </c>
      <c r="L13" s="30">
        <f t="shared" si="24"/>
        <v>91816.2</v>
      </c>
      <c r="M13" s="30">
        <f t="shared" si="25"/>
        <v>427226.4</v>
      </c>
      <c r="N13" s="30">
        <f t="shared" si="26"/>
        <v>3845</v>
      </c>
      <c r="O13" s="30">
        <v>621</v>
      </c>
      <c r="P13" s="30">
        <f>ROUND(D13*O13/1000,0)</f>
        <v>343</v>
      </c>
      <c r="Q13" s="30">
        <f t="shared" si="27"/>
        <v>4188</v>
      </c>
    </row>
    <row r="14" spans="1:17" s="16" customFormat="1" x14ac:dyDescent="0.2">
      <c r="A14" s="24">
        <v>4</v>
      </c>
      <c r="B14" s="25" t="s">
        <v>19</v>
      </c>
      <c r="C14" s="31">
        <f>C15+C16</f>
        <v>49</v>
      </c>
      <c r="D14" s="31">
        <f t="shared" ref="D14:E14" si="28">D15+D16</f>
        <v>19700</v>
      </c>
      <c r="E14" s="31">
        <f t="shared" si="28"/>
        <v>18209</v>
      </c>
      <c r="F14" s="31">
        <f>F15+F16</f>
        <v>7895</v>
      </c>
      <c r="G14" s="31">
        <f t="shared" ref="G14:H14" si="29">G15+G16</f>
        <v>7807</v>
      </c>
      <c r="H14" s="31">
        <f t="shared" si="29"/>
        <v>2507</v>
      </c>
      <c r="I14" s="31"/>
      <c r="J14" s="27">
        <f>J15+J16</f>
        <v>5206378</v>
      </c>
      <c r="K14" s="27">
        <f t="shared" ref="K14:N14" si="30">K15+K16</f>
        <v>12900196</v>
      </c>
      <c r="L14" s="27">
        <f t="shared" si="30"/>
        <v>5817602</v>
      </c>
      <c r="M14" s="27">
        <f t="shared" si="30"/>
        <v>23924176</v>
      </c>
      <c r="N14" s="27">
        <f t="shared" si="30"/>
        <v>215318</v>
      </c>
      <c r="O14" s="32"/>
      <c r="P14" s="27">
        <f t="shared" ref="P14:Q14" si="31">P15+P16</f>
        <v>12234</v>
      </c>
      <c r="Q14" s="27">
        <f t="shared" si="31"/>
        <v>227552</v>
      </c>
    </row>
    <row r="15" spans="1:17" x14ac:dyDescent="0.25">
      <c r="A15" s="23"/>
      <c r="B15" s="28" t="s">
        <v>15</v>
      </c>
      <c r="C15" s="21">
        <v>44</v>
      </c>
      <c r="D15" s="21">
        <v>19449</v>
      </c>
      <c r="E15" s="21">
        <f t="shared" si="21"/>
        <v>17958</v>
      </c>
      <c r="F15" s="29">
        <f>8000-250</f>
        <v>7750</v>
      </c>
      <c r="G15" s="29">
        <f>7892-181</f>
        <v>7711</v>
      </c>
      <c r="H15" s="29">
        <f>3197-700</f>
        <v>2497</v>
      </c>
      <c r="I15" s="21">
        <v>3320</v>
      </c>
      <c r="J15" s="30">
        <f t="shared" ref="J15:J16" si="32">(I15*F15*0.2)</f>
        <v>5146000</v>
      </c>
      <c r="K15" s="30">
        <f t="shared" ref="K15:K16" si="33">(I15*G15*0.5)</f>
        <v>12800260</v>
      </c>
      <c r="L15" s="30">
        <f t="shared" ref="L15:L16" si="34">(I15*H15*0.7)</f>
        <v>5803028</v>
      </c>
      <c r="M15" s="30">
        <f t="shared" ref="M15:M16" si="35">J15+K15+L15</f>
        <v>23749288</v>
      </c>
      <c r="N15" s="30">
        <f t="shared" ref="N15:N16" si="36">ROUND((M15*9/1000),0)</f>
        <v>213744</v>
      </c>
      <c r="O15" s="30">
        <v>621</v>
      </c>
      <c r="P15" s="30">
        <f>ROUND(D15*O15/1000,0)</f>
        <v>12078</v>
      </c>
      <c r="Q15" s="30">
        <f t="shared" ref="Q15:Q16" si="37">N15+P15</f>
        <v>225822</v>
      </c>
    </row>
    <row r="16" spans="1:17" x14ac:dyDescent="0.25">
      <c r="A16" s="23"/>
      <c r="B16" s="28" t="s">
        <v>16</v>
      </c>
      <c r="C16" s="21">
        <v>5</v>
      </c>
      <c r="D16" s="21">
        <v>251</v>
      </c>
      <c r="E16" s="21">
        <f t="shared" si="21"/>
        <v>251</v>
      </c>
      <c r="F16" s="21">
        <v>145</v>
      </c>
      <c r="G16" s="21">
        <v>96</v>
      </c>
      <c r="H16" s="29">
        <v>10</v>
      </c>
      <c r="I16" s="21">
        <v>2082</v>
      </c>
      <c r="J16" s="30">
        <f t="shared" si="32"/>
        <v>60378</v>
      </c>
      <c r="K16" s="30">
        <f t="shared" si="33"/>
        <v>99936</v>
      </c>
      <c r="L16" s="30">
        <f t="shared" si="34"/>
        <v>14573.999999999998</v>
      </c>
      <c r="M16" s="30">
        <f t="shared" si="35"/>
        <v>174888</v>
      </c>
      <c r="N16" s="30">
        <f t="shared" si="36"/>
        <v>1574</v>
      </c>
      <c r="O16" s="30">
        <v>621</v>
      </c>
      <c r="P16" s="30">
        <f>ROUND(D16*O16/1000,0)</f>
        <v>156</v>
      </c>
      <c r="Q16" s="30">
        <f t="shared" si="37"/>
        <v>1730</v>
      </c>
    </row>
    <row r="17" spans="1:17" s="16" customFormat="1" x14ac:dyDescent="0.2">
      <c r="A17" s="24">
        <v>5</v>
      </c>
      <c r="B17" s="25" t="s">
        <v>20</v>
      </c>
      <c r="C17" s="31">
        <f>C18+C19</f>
        <v>18</v>
      </c>
      <c r="D17" s="31">
        <f t="shared" ref="D17:E17" si="38">D18+D19</f>
        <v>3794</v>
      </c>
      <c r="E17" s="31">
        <f t="shared" si="38"/>
        <v>3463</v>
      </c>
      <c r="F17" s="31">
        <f>F18+F19</f>
        <v>1492</v>
      </c>
      <c r="G17" s="31">
        <f t="shared" ref="G17:H17" si="39">G18+G19</f>
        <v>1618</v>
      </c>
      <c r="H17" s="31">
        <f t="shared" si="39"/>
        <v>353</v>
      </c>
      <c r="I17" s="31"/>
      <c r="J17" s="32">
        <f t="shared" ref="J17:N17" si="40">J18+J19</f>
        <v>1081800</v>
      </c>
      <c r="K17" s="32">
        <f t="shared" si="40"/>
        <v>2985210</v>
      </c>
      <c r="L17" s="32">
        <f t="shared" si="40"/>
        <v>911799</v>
      </c>
      <c r="M17" s="32">
        <f t="shared" si="40"/>
        <v>4978809</v>
      </c>
      <c r="N17" s="32">
        <f t="shared" si="40"/>
        <v>44809</v>
      </c>
      <c r="O17" s="32"/>
      <c r="P17" s="32">
        <f t="shared" ref="P17:Q17" si="41">P18+P19</f>
        <v>2356</v>
      </c>
      <c r="Q17" s="32">
        <f t="shared" si="41"/>
        <v>47165</v>
      </c>
    </row>
    <row r="18" spans="1:17" x14ac:dyDescent="0.25">
      <c r="A18" s="23"/>
      <c r="B18" s="28" t="s">
        <v>15</v>
      </c>
      <c r="C18" s="21">
        <v>17</v>
      </c>
      <c r="D18" s="21">
        <v>3734</v>
      </c>
      <c r="E18" s="21">
        <f t="shared" ref="E18:E19" si="42">F18+G18+H18</f>
        <v>3403</v>
      </c>
      <c r="F18" s="29">
        <v>1432</v>
      </c>
      <c r="G18" s="29">
        <v>1618</v>
      </c>
      <c r="H18" s="29">
        <f>653-300</f>
        <v>353</v>
      </c>
      <c r="I18" s="21">
        <v>3690</v>
      </c>
      <c r="J18" s="30">
        <f t="shared" ref="J18:J19" si="43">(I18*F18*0.2)</f>
        <v>1056816</v>
      </c>
      <c r="K18" s="30">
        <f t="shared" ref="K18:K19" si="44">(I18*G18*0.5)</f>
        <v>2985210</v>
      </c>
      <c r="L18" s="30">
        <f t="shared" ref="L18:L19" si="45">(I18*H18*0.7)</f>
        <v>911799</v>
      </c>
      <c r="M18" s="30">
        <f t="shared" ref="M18:M19" si="46">J18+K18+L18</f>
        <v>4953825</v>
      </c>
      <c r="N18" s="30">
        <f t="shared" ref="N18:N19" si="47">ROUND((M18*9/1000),0)</f>
        <v>44584</v>
      </c>
      <c r="O18" s="30">
        <v>621</v>
      </c>
      <c r="P18" s="30">
        <f>ROUND(D18*O18/1000,0)</f>
        <v>2319</v>
      </c>
      <c r="Q18" s="30">
        <f t="shared" ref="Q18:Q19" si="48">N18+P18</f>
        <v>46903</v>
      </c>
    </row>
    <row r="19" spans="1:17" x14ac:dyDescent="0.25">
      <c r="A19" s="23"/>
      <c r="B19" s="28" t="s">
        <v>16</v>
      </c>
      <c r="C19" s="21">
        <v>1</v>
      </c>
      <c r="D19" s="21">
        <v>60</v>
      </c>
      <c r="E19" s="21">
        <f t="shared" si="42"/>
        <v>60</v>
      </c>
      <c r="F19" s="21">
        <v>60</v>
      </c>
      <c r="G19" s="21">
        <v>0</v>
      </c>
      <c r="H19" s="29">
        <v>0</v>
      </c>
      <c r="I19" s="21">
        <v>2082</v>
      </c>
      <c r="J19" s="30">
        <f t="shared" si="43"/>
        <v>24984</v>
      </c>
      <c r="K19" s="30">
        <f t="shared" si="44"/>
        <v>0</v>
      </c>
      <c r="L19" s="30">
        <f t="shared" si="45"/>
        <v>0</v>
      </c>
      <c r="M19" s="30">
        <f t="shared" si="46"/>
        <v>24984</v>
      </c>
      <c r="N19" s="30">
        <f t="shared" si="47"/>
        <v>225</v>
      </c>
      <c r="O19" s="30">
        <v>621</v>
      </c>
      <c r="P19" s="30">
        <f>ROUND(D19*O19/1000,0)</f>
        <v>37</v>
      </c>
      <c r="Q19" s="30">
        <f t="shared" si="48"/>
        <v>262</v>
      </c>
    </row>
    <row r="20" spans="1:17" s="16" customFormat="1" x14ac:dyDescent="0.2">
      <c r="A20" s="24">
        <v>6</v>
      </c>
      <c r="B20" s="25" t="s">
        <v>21</v>
      </c>
      <c r="C20" s="31">
        <f>C21+C22</f>
        <v>8</v>
      </c>
      <c r="D20" s="31">
        <f t="shared" ref="D20:E20" si="49">D21+D22</f>
        <v>2744</v>
      </c>
      <c r="E20" s="31">
        <f t="shared" si="49"/>
        <v>2499</v>
      </c>
      <c r="F20" s="31">
        <f>F21+F22</f>
        <v>1057</v>
      </c>
      <c r="G20" s="31">
        <f t="shared" ref="G20:H20" si="50">G21+G22</f>
        <v>1255</v>
      </c>
      <c r="H20" s="31">
        <f t="shared" si="50"/>
        <v>187</v>
      </c>
      <c r="I20" s="31"/>
      <c r="J20" s="27">
        <f>J21+J22</f>
        <v>820232</v>
      </c>
      <c r="K20" s="27">
        <f t="shared" ref="K20:N20" si="51">K21+K22</f>
        <v>2434700</v>
      </c>
      <c r="L20" s="27">
        <f t="shared" si="51"/>
        <v>507891.99999999994</v>
      </c>
      <c r="M20" s="27">
        <f t="shared" si="51"/>
        <v>3762824</v>
      </c>
      <c r="N20" s="27">
        <f t="shared" si="51"/>
        <v>33865</v>
      </c>
      <c r="O20" s="32"/>
      <c r="P20" s="27">
        <f t="shared" ref="P20:Q20" si="52">P21+P22</f>
        <v>1704</v>
      </c>
      <c r="Q20" s="27">
        <f t="shared" si="52"/>
        <v>35569</v>
      </c>
    </row>
    <row r="21" spans="1:17" x14ac:dyDescent="0.25">
      <c r="A21" s="23"/>
      <c r="B21" s="28" t="s">
        <v>15</v>
      </c>
      <c r="C21" s="21">
        <v>8</v>
      </c>
      <c r="D21" s="21">
        <v>2744</v>
      </c>
      <c r="E21" s="21">
        <f>F21+G21+H21</f>
        <v>2499</v>
      </c>
      <c r="F21" s="29">
        <v>1057</v>
      </c>
      <c r="G21" s="29">
        <v>1255</v>
      </c>
      <c r="H21" s="29">
        <f>387-200</f>
        <v>187</v>
      </c>
      <c r="I21" s="21">
        <v>3880</v>
      </c>
      <c r="J21" s="30">
        <f>(I21*F21*0.2)</f>
        <v>820232</v>
      </c>
      <c r="K21" s="30">
        <f>(I21*G21*0.5)</f>
        <v>2434700</v>
      </c>
      <c r="L21" s="30">
        <f>(I21*H21*0.7)</f>
        <v>507891.99999999994</v>
      </c>
      <c r="M21" s="30">
        <f>J21+K21+L21</f>
        <v>3762824</v>
      </c>
      <c r="N21" s="30">
        <f>ROUND((M21*9/1000),0)</f>
        <v>33865</v>
      </c>
      <c r="O21" s="30">
        <v>621</v>
      </c>
      <c r="P21" s="30">
        <f>ROUND(D21*O21/1000,0)</f>
        <v>1704</v>
      </c>
      <c r="Q21" s="30">
        <f>N21+P21</f>
        <v>35569</v>
      </c>
    </row>
    <row r="22" spans="1:17" x14ac:dyDescent="0.25">
      <c r="A22" s="23"/>
      <c r="B22" s="28" t="s">
        <v>16</v>
      </c>
      <c r="C22" s="21"/>
      <c r="D22" s="21"/>
      <c r="E22" s="21"/>
      <c r="F22" s="21"/>
      <c r="G22" s="21"/>
      <c r="H22" s="29"/>
      <c r="I22" s="21"/>
      <c r="J22" s="30"/>
      <c r="K22" s="30"/>
      <c r="L22" s="30"/>
      <c r="M22" s="30"/>
      <c r="N22" s="30"/>
      <c r="O22" s="30"/>
      <c r="P22" s="30"/>
      <c r="Q22" s="30"/>
    </row>
    <row r="23" spans="1:17" s="18" customFormat="1" x14ac:dyDescent="0.2">
      <c r="A23" s="33">
        <v>7</v>
      </c>
      <c r="B23" s="25" t="s">
        <v>22</v>
      </c>
      <c r="C23" s="31">
        <f>C24+C25</f>
        <v>8</v>
      </c>
      <c r="D23" s="31">
        <f t="shared" ref="D23:H23" si="53">D24+D25</f>
        <v>4295</v>
      </c>
      <c r="E23" s="31">
        <f t="shared" si="53"/>
        <v>3975</v>
      </c>
      <c r="F23" s="31">
        <f t="shared" si="53"/>
        <v>1760</v>
      </c>
      <c r="G23" s="31">
        <f t="shared" si="53"/>
        <v>1909</v>
      </c>
      <c r="H23" s="31">
        <f t="shared" si="53"/>
        <v>306</v>
      </c>
      <c r="I23" s="31"/>
      <c r="J23" s="32">
        <f t="shared" ref="J23:N23" si="54">J24+J25</f>
        <v>732172</v>
      </c>
      <c r="K23" s="32">
        <f t="shared" si="54"/>
        <v>1985380</v>
      </c>
      <c r="L23" s="32">
        <f t="shared" si="54"/>
        <v>445550</v>
      </c>
      <c r="M23" s="32">
        <f t="shared" si="54"/>
        <v>3163102</v>
      </c>
      <c r="N23" s="32">
        <f t="shared" si="54"/>
        <v>28468</v>
      </c>
      <c r="O23" s="32"/>
      <c r="P23" s="32">
        <f t="shared" ref="P23:Q23" si="55">P24+P25</f>
        <v>2667</v>
      </c>
      <c r="Q23" s="32">
        <f t="shared" si="55"/>
        <v>31135</v>
      </c>
    </row>
    <row r="24" spans="1:17" s="19" customFormat="1" x14ac:dyDescent="0.25">
      <c r="A24" s="34"/>
      <c r="B24" s="28" t="s">
        <v>15</v>
      </c>
      <c r="C24" s="21">
        <v>7</v>
      </c>
      <c r="D24" s="21">
        <v>4225</v>
      </c>
      <c r="E24" s="21">
        <f>F24+G24+H24</f>
        <v>3915</v>
      </c>
      <c r="F24" s="35">
        <v>1730</v>
      </c>
      <c r="G24" s="35">
        <v>1889</v>
      </c>
      <c r="H24" s="35">
        <f>546-250</f>
        <v>296</v>
      </c>
      <c r="I24" s="21">
        <v>2080</v>
      </c>
      <c r="J24" s="30">
        <f>(I24*F24*0.2)</f>
        <v>719680</v>
      </c>
      <c r="K24" s="30">
        <f>(I24*G24*0.5)</f>
        <v>1964560</v>
      </c>
      <c r="L24" s="30">
        <f>(I24*H24*0.7)</f>
        <v>430976</v>
      </c>
      <c r="M24" s="30">
        <f t="shared" ref="M24:M25" si="56">J24+K24+L24</f>
        <v>3115216</v>
      </c>
      <c r="N24" s="30">
        <f t="shared" ref="N24:N25" si="57">ROUND((M24*9/1000),0)</f>
        <v>28037</v>
      </c>
      <c r="O24" s="30">
        <v>621</v>
      </c>
      <c r="P24" s="30">
        <f>ROUND(D24*O24/1000,0)</f>
        <v>2624</v>
      </c>
      <c r="Q24" s="30">
        <f t="shared" ref="Q24:Q25" si="58">N24+P24</f>
        <v>30661</v>
      </c>
    </row>
    <row r="25" spans="1:17" s="19" customFormat="1" x14ac:dyDescent="0.25">
      <c r="A25" s="34"/>
      <c r="B25" s="28" t="s">
        <v>16</v>
      </c>
      <c r="C25" s="21">
        <v>1</v>
      </c>
      <c r="D25" s="21">
        <v>70</v>
      </c>
      <c r="E25" s="21">
        <f>F25+G25+H25</f>
        <v>60</v>
      </c>
      <c r="F25" s="21">
        <v>30</v>
      </c>
      <c r="G25" s="21">
        <v>20</v>
      </c>
      <c r="H25" s="29">
        <v>10</v>
      </c>
      <c r="I25" s="21">
        <v>2082</v>
      </c>
      <c r="J25" s="30">
        <f>(I25*F25*0.2)</f>
        <v>12492</v>
      </c>
      <c r="K25" s="30">
        <f>(I25*G25*0.5)</f>
        <v>20820</v>
      </c>
      <c r="L25" s="30">
        <f>(I25*H25*0.7)</f>
        <v>14573.999999999998</v>
      </c>
      <c r="M25" s="30">
        <f t="shared" si="56"/>
        <v>47886</v>
      </c>
      <c r="N25" s="30">
        <f t="shared" si="57"/>
        <v>431</v>
      </c>
      <c r="O25" s="30">
        <v>621</v>
      </c>
      <c r="P25" s="30">
        <f>ROUND(D25*O25/1000,0)</f>
        <v>43</v>
      </c>
      <c r="Q25" s="30">
        <f t="shared" si="58"/>
        <v>474</v>
      </c>
    </row>
    <row r="26" spans="1:17" s="16" customFormat="1" x14ac:dyDescent="0.2">
      <c r="A26" s="24">
        <v>8</v>
      </c>
      <c r="B26" s="25" t="s">
        <v>23</v>
      </c>
      <c r="C26" s="31">
        <f>C27+C28</f>
        <v>10</v>
      </c>
      <c r="D26" s="31">
        <f t="shared" ref="D26:E26" si="59">D27+D28</f>
        <v>2933</v>
      </c>
      <c r="E26" s="31">
        <f t="shared" si="59"/>
        <v>2609</v>
      </c>
      <c r="F26" s="31">
        <f>F27+F28</f>
        <v>1123</v>
      </c>
      <c r="G26" s="31">
        <f t="shared" ref="G26:H26" si="60">G27+G28</f>
        <v>1176</v>
      </c>
      <c r="H26" s="31">
        <f t="shared" si="60"/>
        <v>310</v>
      </c>
      <c r="I26" s="31"/>
      <c r="J26" s="27">
        <f>J27+J28</f>
        <v>752410</v>
      </c>
      <c r="K26" s="27">
        <f t="shared" ref="K26:N26" si="61">K27+K28</f>
        <v>1969800</v>
      </c>
      <c r="L26" s="27">
        <f t="shared" si="61"/>
        <v>726950</v>
      </c>
      <c r="M26" s="27">
        <f t="shared" si="61"/>
        <v>3449160</v>
      </c>
      <c r="N26" s="27">
        <f t="shared" si="61"/>
        <v>31042</v>
      </c>
      <c r="O26" s="37"/>
      <c r="P26" s="27">
        <f t="shared" ref="P26:Q26" si="62">P27+P28</f>
        <v>1821</v>
      </c>
      <c r="Q26" s="27">
        <f t="shared" si="62"/>
        <v>32863</v>
      </c>
    </row>
    <row r="27" spans="1:17" x14ac:dyDescent="0.25">
      <c r="A27" s="23"/>
      <c r="B27" s="28" t="s">
        <v>15</v>
      </c>
      <c r="C27" s="21">
        <v>10</v>
      </c>
      <c r="D27" s="21">
        <v>2933</v>
      </c>
      <c r="E27" s="21">
        <f>F27+G27+H27</f>
        <v>2609</v>
      </c>
      <c r="F27" s="29">
        <v>1123</v>
      </c>
      <c r="G27" s="29">
        <v>1176</v>
      </c>
      <c r="H27" s="29">
        <f>560-250</f>
        <v>310</v>
      </c>
      <c r="I27" s="21">
        <v>3350</v>
      </c>
      <c r="J27" s="30">
        <f>(I27*F27*0.2)</f>
        <v>752410</v>
      </c>
      <c r="K27" s="30">
        <f>(I27*G27*0.5)</f>
        <v>1969800</v>
      </c>
      <c r="L27" s="30">
        <f>(I27*H27*0.7)</f>
        <v>726950</v>
      </c>
      <c r="M27" s="30">
        <f>J27+K27+L27</f>
        <v>3449160</v>
      </c>
      <c r="N27" s="30">
        <f>ROUND((M27*9/1000),0)</f>
        <v>31042</v>
      </c>
      <c r="O27" s="30">
        <v>621</v>
      </c>
      <c r="P27" s="30">
        <f>ROUND(D27*O27/1000,0)</f>
        <v>1821</v>
      </c>
      <c r="Q27" s="30">
        <f>N27+P27</f>
        <v>32863</v>
      </c>
    </row>
    <row r="28" spans="1:17" x14ac:dyDescent="0.25">
      <c r="A28" s="23"/>
      <c r="B28" s="28" t="s">
        <v>16</v>
      </c>
      <c r="C28" s="21"/>
      <c r="D28" s="21"/>
      <c r="E28" s="21"/>
      <c r="F28" s="21"/>
      <c r="G28" s="21"/>
      <c r="H28" s="29"/>
      <c r="I28" s="21"/>
      <c r="J28" s="30"/>
      <c r="K28" s="30"/>
      <c r="L28" s="30"/>
      <c r="M28" s="30"/>
      <c r="N28" s="30"/>
      <c r="O28" s="30"/>
      <c r="P28" s="30"/>
      <c r="Q28" s="30"/>
    </row>
    <row r="29" spans="1:17" s="16" customFormat="1" x14ac:dyDescent="0.2">
      <c r="A29" s="24">
        <v>9</v>
      </c>
      <c r="B29" s="25" t="s">
        <v>24</v>
      </c>
      <c r="C29" s="31">
        <f>C30+C31</f>
        <v>10</v>
      </c>
      <c r="D29" s="31">
        <f t="shared" ref="D29:E29" si="63">D30+D31</f>
        <v>2478</v>
      </c>
      <c r="E29" s="31">
        <f t="shared" si="63"/>
        <v>2310</v>
      </c>
      <c r="F29" s="31">
        <f>F30+F31</f>
        <v>903</v>
      </c>
      <c r="G29" s="31">
        <f t="shared" ref="G29:H29" si="64">G30+G31</f>
        <v>1147</v>
      </c>
      <c r="H29" s="31">
        <f t="shared" si="64"/>
        <v>260</v>
      </c>
      <c r="I29" s="31"/>
      <c r="J29" s="32">
        <f t="shared" ref="J29:N29" si="65">J30+J31</f>
        <v>559860</v>
      </c>
      <c r="K29" s="32">
        <f t="shared" si="65"/>
        <v>1777850</v>
      </c>
      <c r="L29" s="32">
        <f t="shared" si="65"/>
        <v>564200</v>
      </c>
      <c r="M29" s="32">
        <f t="shared" si="65"/>
        <v>2901910</v>
      </c>
      <c r="N29" s="32">
        <f t="shared" si="65"/>
        <v>26117</v>
      </c>
      <c r="O29" s="31"/>
      <c r="P29" s="32">
        <f t="shared" ref="P29:Q29" si="66">P30+P31</f>
        <v>1539</v>
      </c>
      <c r="Q29" s="32">
        <f t="shared" si="66"/>
        <v>27656</v>
      </c>
    </row>
    <row r="30" spans="1:17" x14ac:dyDescent="0.25">
      <c r="A30" s="23"/>
      <c r="B30" s="28" t="s">
        <v>15</v>
      </c>
      <c r="C30" s="21">
        <v>10</v>
      </c>
      <c r="D30" s="21">
        <v>2478</v>
      </c>
      <c r="E30" s="21">
        <f>F30+G30+H30</f>
        <v>2310</v>
      </c>
      <c r="F30" s="29">
        <v>903</v>
      </c>
      <c r="G30" s="29">
        <v>1147</v>
      </c>
      <c r="H30" s="29">
        <f>410-150</f>
        <v>260</v>
      </c>
      <c r="I30" s="21">
        <v>3100</v>
      </c>
      <c r="J30" s="30">
        <f>(I30*F30*0.2)</f>
        <v>559860</v>
      </c>
      <c r="K30" s="30">
        <f>(I30*G30*0.5)</f>
        <v>1777850</v>
      </c>
      <c r="L30" s="30">
        <f>(I30*H30*0.7)</f>
        <v>564200</v>
      </c>
      <c r="M30" s="30">
        <f>J30+K30+L30</f>
        <v>2901910</v>
      </c>
      <c r="N30" s="30">
        <f>ROUND((M30*9/1000),0)</f>
        <v>26117</v>
      </c>
      <c r="O30" s="30">
        <v>621</v>
      </c>
      <c r="P30" s="30">
        <f>ROUND(D30*O30/1000,0)</f>
        <v>1539</v>
      </c>
      <c r="Q30" s="30">
        <f>N30+P30</f>
        <v>27656</v>
      </c>
    </row>
    <row r="31" spans="1:17" x14ac:dyDescent="0.25">
      <c r="A31" s="23"/>
      <c r="B31" s="28" t="s">
        <v>16</v>
      </c>
      <c r="C31" s="21"/>
      <c r="D31" s="21"/>
      <c r="E31" s="21"/>
      <c r="F31" s="21"/>
      <c r="G31" s="21"/>
      <c r="H31" s="29"/>
      <c r="I31" s="21"/>
      <c r="J31" s="30"/>
      <c r="K31" s="30"/>
      <c r="L31" s="30"/>
      <c r="M31" s="30"/>
      <c r="N31" s="30"/>
      <c r="O31" s="30"/>
      <c r="P31" s="30">
        <f>ROUND(D31*O31/1000,0)</f>
        <v>0</v>
      </c>
      <c r="Q31" s="30"/>
    </row>
    <row r="32" spans="1:17" s="16" customFormat="1" x14ac:dyDescent="0.2">
      <c r="A32" s="24">
        <v>10</v>
      </c>
      <c r="B32" s="25" t="s">
        <v>25</v>
      </c>
      <c r="C32" s="31">
        <f>C33+C34</f>
        <v>14</v>
      </c>
      <c r="D32" s="31">
        <f t="shared" ref="D32:E32" si="67">D33+D34</f>
        <v>4376</v>
      </c>
      <c r="E32" s="31">
        <f t="shared" si="67"/>
        <v>4066</v>
      </c>
      <c r="F32" s="31">
        <f>F33+F34</f>
        <v>3239</v>
      </c>
      <c r="G32" s="31">
        <f t="shared" ref="G32:H32" si="68">G33+G34</f>
        <v>752</v>
      </c>
      <c r="H32" s="31">
        <f t="shared" si="68"/>
        <v>75</v>
      </c>
      <c r="I32" s="31"/>
      <c r="J32" s="27">
        <f>J33+J34</f>
        <v>2564198.7999999998</v>
      </c>
      <c r="K32" s="27">
        <f t="shared" ref="K32:N32" si="69">K33+K34</f>
        <v>1475602</v>
      </c>
      <c r="L32" s="27">
        <f t="shared" si="69"/>
        <v>198321.2</v>
      </c>
      <c r="M32" s="27">
        <f t="shared" si="69"/>
        <v>4238122</v>
      </c>
      <c r="N32" s="27">
        <f t="shared" si="69"/>
        <v>38143</v>
      </c>
      <c r="O32" s="32"/>
      <c r="P32" s="27">
        <f t="shared" ref="P32:Q32" si="70">P33+P34</f>
        <v>2718</v>
      </c>
      <c r="Q32" s="27">
        <f t="shared" si="70"/>
        <v>40861</v>
      </c>
    </row>
    <row r="33" spans="1:17" x14ac:dyDescent="0.25">
      <c r="A33" s="23"/>
      <c r="B33" s="28" t="s">
        <v>15</v>
      </c>
      <c r="C33" s="21">
        <v>13</v>
      </c>
      <c r="D33" s="21">
        <v>4236</v>
      </c>
      <c r="E33" s="21">
        <f>F33+G33+H33</f>
        <v>3999</v>
      </c>
      <c r="F33" s="29">
        <v>3202</v>
      </c>
      <c r="G33" s="29">
        <v>730</v>
      </c>
      <c r="H33" s="29">
        <f>92-25</f>
        <v>67</v>
      </c>
      <c r="I33" s="21">
        <v>3980</v>
      </c>
      <c r="J33" s="30">
        <f>(I33*F33*0.2)</f>
        <v>2548792</v>
      </c>
      <c r="K33" s="30">
        <f>(I33*G33*0.5)</f>
        <v>1452700</v>
      </c>
      <c r="L33" s="30">
        <f>(I33*H33*0.7)</f>
        <v>186662</v>
      </c>
      <c r="M33" s="30">
        <f>J33+K33+L33</f>
        <v>4188154</v>
      </c>
      <c r="N33" s="30">
        <f>ROUND((M33*9/1000),0)</f>
        <v>37693</v>
      </c>
      <c r="O33" s="30">
        <v>621</v>
      </c>
      <c r="P33" s="30">
        <f>ROUND(D33*O33/1000,0)</f>
        <v>2631</v>
      </c>
      <c r="Q33" s="30">
        <f>N33+P33</f>
        <v>40324</v>
      </c>
    </row>
    <row r="34" spans="1:17" x14ac:dyDescent="0.25">
      <c r="A34" s="23"/>
      <c r="B34" s="28" t="s">
        <v>16</v>
      </c>
      <c r="C34" s="21">
        <v>1</v>
      </c>
      <c r="D34" s="21">
        <v>140</v>
      </c>
      <c r="E34" s="21">
        <f>F34+G34+H34</f>
        <v>67</v>
      </c>
      <c r="F34" s="21">
        <v>37</v>
      </c>
      <c r="G34" s="21">
        <v>22</v>
      </c>
      <c r="H34" s="29">
        <v>8</v>
      </c>
      <c r="I34" s="21">
        <v>2082</v>
      </c>
      <c r="J34" s="30">
        <f>(I34*F34*0.2)</f>
        <v>15406.800000000001</v>
      </c>
      <c r="K34" s="30">
        <f>(I34*G34*0.5)</f>
        <v>22902</v>
      </c>
      <c r="L34" s="30">
        <f>(I34*H34*0.7)</f>
        <v>11659.199999999999</v>
      </c>
      <c r="M34" s="30">
        <f>J34+K34+L34</f>
        <v>49968</v>
      </c>
      <c r="N34" s="30">
        <f>ROUND((M34*9/1000),0)</f>
        <v>450</v>
      </c>
      <c r="O34" s="30">
        <v>621</v>
      </c>
      <c r="P34" s="30">
        <f>ROUND(D34*O34/1000,0)</f>
        <v>87</v>
      </c>
      <c r="Q34" s="30">
        <f>N34+P34</f>
        <v>537</v>
      </c>
    </row>
    <row r="35" spans="1:17" s="16" customFormat="1" x14ac:dyDescent="0.2">
      <c r="A35" s="24">
        <v>11</v>
      </c>
      <c r="B35" s="25" t="s">
        <v>26</v>
      </c>
      <c r="C35" s="31">
        <f>C36+C37</f>
        <v>8</v>
      </c>
      <c r="D35" s="31">
        <f t="shared" ref="D35:E35" si="71">D36+D37</f>
        <v>2870</v>
      </c>
      <c r="E35" s="31">
        <f t="shared" si="71"/>
        <v>2636</v>
      </c>
      <c r="F35" s="31">
        <f>F36+F37</f>
        <v>1083</v>
      </c>
      <c r="G35" s="31">
        <f t="shared" ref="G35:H35" si="72">G36+G37</f>
        <v>1170</v>
      </c>
      <c r="H35" s="31">
        <f t="shared" si="72"/>
        <v>383</v>
      </c>
      <c r="I35" s="31"/>
      <c r="J35" s="27">
        <f>J36+J37</f>
        <v>518757</v>
      </c>
      <c r="K35" s="27">
        <f t="shared" ref="K35:N35" si="73">K36+K37</f>
        <v>1401075</v>
      </c>
      <c r="L35" s="27">
        <f t="shared" si="73"/>
        <v>642099.5</v>
      </c>
      <c r="M35" s="27">
        <f t="shared" si="73"/>
        <v>2561931.5</v>
      </c>
      <c r="N35" s="27">
        <f t="shared" si="73"/>
        <v>23057</v>
      </c>
      <c r="O35" s="43"/>
      <c r="P35" s="27">
        <f t="shared" ref="P35:Q35" si="74">P36+P37</f>
        <v>1782</v>
      </c>
      <c r="Q35" s="27">
        <f t="shared" si="74"/>
        <v>24839</v>
      </c>
    </row>
    <row r="36" spans="1:17" x14ac:dyDescent="0.25">
      <c r="A36" s="23"/>
      <c r="B36" s="28" t="s">
        <v>15</v>
      </c>
      <c r="C36" s="36">
        <v>8</v>
      </c>
      <c r="D36" s="21">
        <v>2870</v>
      </c>
      <c r="E36" s="21">
        <f>F36+G36+H36</f>
        <v>2636</v>
      </c>
      <c r="F36" s="29">
        <v>1083</v>
      </c>
      <c r="G36" s="29">
        <v>1170</v>
      </c>
      <c r="H36" s="29">
        <f>583-200</f>
        <v>383</v>
      </c>
      <c r="I36" s="21">
        <v>2395</v>
      </c>
      <c r="J36" s="30">
        <f>(I36*F36*0.2)</f>
        <v>518757</v>
      </c>
      <c r="K36" s="30">
        <f>(I36*G36*0.5)</f>
        <v>1401075</v>
      </c>
      <c r="L36" s="30">
        <f>(I36*H36*0.7)</f>
        <v>642099.5</v>
      </c>
      <c r="M36" s="30">
        <f>J36+K36+L36</f>
        <v>2561931.5</v>
      </c>
      <c r="N36" s="30">
        <f>ROUND((M36*9/1000),0)</f>
        <v>23057</v>
      </c>
      <c r="O36" s="30">
        <v>621</v>
      </c>
      <c r="P36" s="30">
        <f>ROUND(D36*O36/1000,0)</f>
        <v>1782</v>
      </c>
      <c r="Q36" s="30">
        <f>N36+P36</f>
        <v>24839</v>
      </c>
    </row>
    <row r="37" spans="1:17" x14ac:dyDescent="0.25">
      <c r="A37" s="23"/>
      <c r="B37" s="28" t="s">
        <v>16</v>
      </c>
      <c r="C37" s="21"/>
      <c r="D37" s="21"/>
      <c r="E37" s="21"/>
      <c r="F37" s="21"/>
      <c r="G37" s="21"/>
      <c r="H37" s="29"/>
      <c r="I37" s="21"/>
      <c r="J37" s="30"/>
      <c r="K37" s="30"/>
      <c r="L37" s="30"/>
      <c r="M37" s="30"/>
      <c r="N37" s="30"/>
      <c r="O37" s="30"/>
      <c r="P37" s="30"/>
      <c r="Q37" s="30"/>
    </row>
    <row r="38" spans="1:17" s="16" customFormat="1" x14ac:dyDescent="0.2">
      <c r="A38" s="24">
        <v>12</v>
      </c>
      <c r="B38" s="25" t="s">
        <v>27</v>
      </c>
      <c r="C38" s="31">
        <f>C39+C40</f>
        <v>5</v>
      </c>
      <c r="D38" s="31">
        <f t="shared" ref="D38:H38" si="75">D39+D40</f>
        <v>1199</v>
      </c>
      <c r="E38" s="31">
        <f t="shared" si="75"/>
        <v>1035</v>
      </c>
      <c r="F38" s="31">
        <f t="shared" si="75"/>
        <v>496</v>
      </c>
      <c r="G38" s="31">
        <f t="shared" si="75"/>
        <v>473</v>
      </c>
      <c r="H38" s="31">
        <f t="shared" si="75"/>
        <v>66</v>
      </c>
      <c r="I38" s="31"/>
      <c r="J38" s="27">
        <f>J39+J40</f>
        <v>416640</v>
      </c>
      <c r="K38" s="27">
        <f t="shared" ref="K38:N38" si="76">K39+K40</f>
        <v>993300</v>
      </c>
      <c r="L38" s="27">
        <f t="shared" si="76"/>
        <v>194040</v>
      </c>
      <c r="M38" s="27">
        <f t="shared" si="76"/>
        <v>1603980</v>
      </c>
      <c r="N38" s="27">
        <f t="shared" si="76"/>
        <v>14436</v>
      </c>
      <c r="O38" s="43"/>
      <c r="P38" s="27">
        <f t="shared" ref="P38:Q38" si="77">P39+P40</f>
        <v>745</v>
      </c>
      <c r="Q38" s="27">
        <f t="shared" si="77"/>
        <v>15181</v>
      </c>
    </row>
    <row r="39" spans="1:17" x14ac:dyDescent="0.25">
      <c r="A39" s="23"/>
      <c r="B39" s="28" t="s">
        <v>15</v>
      </c>
      <c r="C39" s="21">
        <v>5</v>
      </c>
      <c r="D39" s="21">
        <v>1199</v>
      </c>
      <c r="E39" s="21">
        <f>F39+G39+H39</f>
        <v>1035</v>
      </c>
      <c r="F39" s="21">
        <v>496</v>
      </c>
      <c r="G39" s="21">
        <v>473</v>
      </c>
      <c r="H39" s="21">
        <f>216-150</f>
        <v>66</v>
      </c>
      <c r="I39" s="21">
        <v>4200</v>
      </c>
      <c r="J39" s="30">
        <f>(I39*F39*0.2)</f>
        <v>416640</v>
      </c>
      <c r="K39" s="30">
        <f>(I39*G39*0.5)</f>
        <v>993300</v>
      </c>
      <c r="L39" s="30">
        <f>(I39*H39*0.7)</f>
        <v>194040</v>
      </c>
      <c r="M39" s="30">
        <f>J39+K39+L39</f>
        <v>1603980</v>
      </c>
      <c r="N39" s="30">
        <f>ROUND((M39*9/1000),0)</f>
        <v>14436</v>
      </c>
      <c r="O39" s="30">
        <v>621</v>
      </c>
      <c r="P39" s="30">
        <f>ROUND(D39*O39/1000,0)</f>
        <v>745</v>
      </c>
      <c r="Q39" s="30">
        <f>N39+P39</f>
        <v>15181</v>
      </c>
    </row>
    <row r="40" spans="1:17" x14ac:dyDescent="0.25">
      <c r="A40" s="23"/>
      <c r="B40" s="28" t="s">
        <v>16</v>
      </c>
      <c r="C40" s="21"/>
      <c r="D40" s="21"/>
      <c r="E40" s="21"/>
      <c r="F40" s="21"/>
      <c r="G40" s="21"/>
      <c r="H40" s="29"/>
      <c r="I40" s="21"/>
      <c r="J40" s="30"/>
      <c r="K40" s="30"/>
      <c r="L40" s="30"/>
      <c r="M40" s="30"/>
      <c r="N40" s="30"/>
      <c r="O40" s="30"/>
      <c r="P40" s="30"/>
      <c r="Q40" s="30"/>
    </row>
    <row r="41" spans="1:17" s="16" customFormat="1" x14ac:dyDescent="0.2">
      <c r="A41" s="24">
        <v>13</v>
      </c>
      <c r="B41" s="25" t="s">
        <v>28</v>
      </c>
      <c r="C41" s="31">
        <f>C42+C43</f>
        <v>10</v>
      </c>
      <c r="D41" s="31">
        <f t="shared" ref="D41:H41" si="78">D42+D43</f>
        <v>2782</v>
      </c>
      <c r="E41" s="31">
        <f t="shared" si="78"/>
        <v>2530</v>
      </c>
      <c r="F41" s="31">
        <f t="shared" si="78"/>
        <v>1179</v>
      </c>
      <c r="G41" s="31">
        <f t="shared" si="78"/>
        <v>1153</v>
      </c>
      <c r="H41" s="31">
        <f t="shared" si="78"/>
        <v>198</v>
      </c>
      <c r="I41" s="31"/>
      <c r="J41" s="27">
        <f>J42+J43</f>
        <v>639068.4</v>
      </c>
      <c r="K41" s="27">
        <f t="shared" ref="K41:N41" si="79">K42+K43</f>
        <v>1562181</v>
      </c>
      <c r="L41" s="27">
        <f t="shared" si="79"/>
        <v>373842</v>
      </c>
      <c r="M41" s="27">
        <f t="shared" si="79"/>
        <v>2575091.4</v>
      </c>
      <c r="N41" s="27">
        <f t="shared" si="79"/>
        <v>23175</v>
      </c>
      <c r="O41" s="32"/>
      <c r="P41" s="27">
        <f t="shared" ref="P41:Q41" si="80">P42+P43</f>
        <v>1727</v>
      </c>
      <c r="Q41" s="27">
        <f t="shared" si="80"/>
        <v>24902</v>
      </c>
    </row>
    <row r="42" spans="1:17" x14ac:dyDescent="0.25">
      <c r="A42" s="23"/>
      <c r="B42" s="28" t="s">
        <v>15</v>
      </c>
      <c r="C42" s="21">
        <v>8</v>
      </c>
      <c r="D42" s="21">
        <v>2690</v>
      </c>
      <c r="E42" s="21">
        <f>F42+G42+H42</f>
        <v>2448</v>
      </c>
      <c r="F42" s="29">
        <v>1143</v>
      </c>
      <c r="G42" s="29">
        <v>1117</v>
      </c>
      <c r="H42" s="29">
        <f>338-150</f>
        <v>188</v>
      </c>
      <c r="I42" s="21">
        <v>2730</v>
      </c>
      <c r="J42" s="30">
        <f t="shared" ref="J42:J45" si="81">(I42*F42*0.2)</f>
        <v>624078</v>
      </c>
      <c r="K42" s="30">
        <f t="shared" ref="K42:K43" si="82">(I42*G42*0.5)</f>
        <v>1524705</v>
      </c>
      <c r="L42" s="30">
        <f t="shared" ref="L42:L43" si="83">(I42*H42*0.7)</f>
        <v>359268</v>
      </c>
      <c r="M42" s="30">
        <f t="shared" ref="M42:M43" si="84">J42+K42+L42</f>
        <v>2508051</v>
      </c>
      <c r="N42" s="30">
        <f t="shared" ref="N42:N43" si="85">ROUND((M42*9/1000),0)</f>
        <v>22572</v>
      </c>
      <c r="O42" s="30">
        <v>621</v>
      </c>
      <c r="P42" s="30">
        <f>ROUND(D42*O42/1000,0)</f>
        <v>1670</v>
      </c>
      <c r="Q42" s="30">
        <f t="shared" ref="Q42:Q43" si="86">N42+P42</f>
        <v>24242</v>
      </c>
    </row>
    <row r="43" spans="1:17" x14ac:dyDescent="0.25">
      <c r="A43" s="23"/>
      <c r="B43" s="28" t="s">
        <v>16</v>
      </c>
      <c r="C43" s="21">
        <v>2</v>
      </c>
      <c r="D43" s="21">
        <v>92</v>
      </c>
      <c r="E43" s="21">
        <f>F43+G43+H43</f>
        <v>82</v>
      </c>
      <c r="F43" s="21">
        <v>36</v>
      </c>
      <c r="G43" s="21">
        <v>36</v>
      </c>
      <c r="H43" s="29">
        <v>10</v>
      </c>
      <c r="I43" s="21">
        <v>2082</v>
      </c>
      <c r="J43" s="30">
        <f t="shared" si="81"/>
        <v>14990.400000000001</v>
      </c>
      <c r="K43" s="30">
        <f t="shared" si="82"/>
        <v>37476</v>
      </c>
      <c r="L43" s="30">
        <f t="shared" si="83"/>
        <v>14573.999999999998</v>
      </c>
      <c r="M43" s="30">
        <f t="shared" si="84"/>
        <v>67040.399999999994</v>
      </c>
      <c r="N43" s="30">
        <f t="shared" si="85"/>
        <v>603</v>
      </c>
      <c r="O43" s="30">
        <v>621</v>
      </c>
      <c r="P43" s="30">
        <f>ROUND(D43*O43/1000,0)</f>
        <v>57</v>
      </c>
      <c r="Q43" s="30">
        <f t="shared" si="86"/>
        <v>660</v>
      </c>
    </row>
    <row r="44" spans="1:17" s="18" customFormat="1" x14ac:dyDescent="0.2">
      <c r="A44" s="24">
        <v>14</v>
      </c>
      <c r="B44" s="25" t="s">
        <v>29</v>
      </c>
      <c r="C44" s="31">
        <f>C45+C46</f>
        <v>11</v>
      </c>
      <c r="D44" s="31">
        <f>D45+D46</f>
        <v>1724</v>
      </c>
      <c r="E44" s="26">
        <f>E45+E46</f>
        <v>1518</v>
      </c>
      <c r="F44" s="26">
        <f t="shared" ref="F44:H44" si="87">F45+F46</f>
        <v>633</v>
      </c>
      <c r="G44" s="26">
        <f t="shared" si="87"/>
        <v>802</v>
      </c>
      <c r="H44" s="26">
        <f t="shared" si="87"/>
        <v>83</v>
      </c>
      <c r="I44" s="31"/>
      <c r="J44" s="37">
        <f t="shared" ref="J44:N44" si="88">J45+J46</f>
        <v>351948</v>
      </c>
      <c r="K44" s="37">
        <f t="shared" si="88"/>
        <v>1114780</v>
      </c>
      <c r="L44" s="37">
        <f t="shared" si="88"/>
        <v>161518</v>
      </c>
      <c r="M44" s="37">
        <f t="shared" si="88"/>
        <v>1628246</v>
      </c>
      <c r="N44" s="37">
        <f t="shared" si="88"/>
        <v>14654</v>
      </c>
      <c r="O44" s="43"/>
      <c r="P44" s="37">
        <f>P45+P46</f>
        <v>1346</v>
      </c>
      <c r="Q44" s="37">
        <f>Q45+Q46</f>
        <v>16000</v>
      </c>
    </row>
    <row r="45" spans="1:17" s="19" customFormat="1" x14ac:dyDescent="0.25">
      <c r="A45" s="23"/>
      <c r="B45" s="28" t="s">
        <v>15</v>
      </c>
      <c r="C45" s="21">
        <f>C47+C48</f>
        <v>11</v>
      </c>
      <c r="D45" s="21">
        <f>D47+D48</f>
        <v>1724</v>
      </c>
      <c r="E45" s="21">
        <f>F45+G45+H45</f>
        <v>1518</v>
      </c>
      <c r="F45" s="21">
        <f>F47+F48</f>
        <v>633</v>
      </c>
      <c r="G45" s="21">
        <f t="shared" ref="G45" si="89">G47+G48</f>
        <v>802</v>
      </c>
      <c r="H45" s="21">
        <f>H47+H48</f>
        <v>83</v>
      </c>
      <c r="I45" s="21">
        <v>2780</v>
      </c>
      <c r="J45" s="30">
        <f t="shared" si="81"/>
        <v>351948</v>
      </c>
      <c r="K45" s="30">
        <f t="shared" ref="K45" si="90">(I45*G45*0.5)</f>
        <v>1114780</v>
      </c>
      <c r="L45" s="30">
        <f t="shared" ref="L45" si="91">(I45*H45*0.7)</f>
        <v>161518</v>
      </c>
      <c r="M45" s="30">
        <f>J45+K45+L45</f>
        <v>1628246</v>
      </c>
      <c r="N45" s="30">
        <f>ROUND((M45*9/1000),0)</f>
        <v>14654</v>
      </c>
      <c r="O45" s="30"/>
      <c r="P45" s="30">
        <f>P47+P48</f>
        <v>1346</v>
      </c>
      <c r="Q45" s="30">
        <f>N45+P45</f>
        <v>16000</v>
      </c>
    </row>
    <row r="46" spans="1:17" s="19" customFormat="1" x14ac:dyDescent="0.25">
      <c r="A46" s="23"/>
      <c r="B46" s="28" t="s">
        <v>16</v>
      </c>
      <c r="C46" s="21"/>
      <c r="D46" s="21"/>
      <c r="E46" s="21"/>
      <c r="F46" s="21"/>
      <c r="G46" s="21"/>
      <c r="H46" s="29"/>
      <c r="I46" s="21"/>
      <c r="J46" s="30"/>
      <c r="K46" s="30"/>
      <c r="L46" s="30"/>
      <c r="M46" s="30"/>
      <c r="N46" s="30"/>
      <c r="O46" s="30"/>
      <c r="P46" s="30"/>
      <c r="Q46" s="37"/>
    </row>
    <row r="47" spans="1:17" s="19" customFormat="1" x14ac:dyDescent="0.25">
      <c r="A47" s="23"/>
      <c r="B47" s="38" t="s">
        <v>30</v>
      </c>
      <c r="C47" s="39">
        <v>4</v>
      </c>
      <c r="D47" s="39">
        <v>1183</v>
      </c>
      <c r="E47" s="21">
        <f t="shared" ref="E47:E48" si="92">F47+G47+H47</f>
        <v>1030</v>
      </c>
      <c r="F47" s="39">
        <f>585-200</f>
        <v>385</v>
      </c>
      <c r="G47" s="39">
        <v>596</v>
      </c>
      <c r="H47" s="39">
        <f>199-150</f>
        <v>49</v>
      </c>
      <c r="I47" s="39"/>
      <c r="J47" s="40"/>
      <c r="K47" s="40"/>
      <c r="L47" s="40"/>
      <c r="M47" s="40"/>
      <c r="N47" s="40"/>
      <c r="O47" s="30">
        <v>621</v>
      </c>
      <c r="P47" s="40">
        <f>ROUND(D47*O47/1000,0)</f>
        <v>735</v>
      </c>
      <c r="Q47" s="44"/>
    </row>
    <row r="48" spans="1:17" s="19" customFormat="1" x14ac:dyDescent="0.25">
      <c r="A48" s="23"/>
      <c r="B48" s="38" t="s">
        <v>31</v>
      </c>
      <c r="C48" s="39">
        <v>7</v>
      </c>
      <c r="D48" s="39">
        <v>541</v>
      </c>
      <c r="E48" s="21">
        <f t="shared" si="92"/>
        <v>488</v>
      </c>
      <c r="F48" s="39">
        <f>258-10</f>
        <v>248</v>
      </c>
      <c r="G48" s="39">
        <v>206</v>
      </c>
      <c r="H48" s="39">
        <f>84-50</f>
        <v>34</v>
      </c>
      <c r="I48" s="39"/>
      <c r="J48" s="40"/>
      <c r="K48" s="40"/>
      <c r="L48" s="40"/>
      <c r="M48" s="40"/>
      <c r="N48" s="40"/>
      <c r="O48" s="40">
        <v>1130</v>
      </c>
      <c r="P48" s="40">
        <f>ROUND(D48*O48/1000,0)</f>
        <v>611</v>
      </c>
      <c r="Q48" s="44"/>
    </row>
    <row r="49" spans="1:17" s="16" customFormat="1" x14ac:dyDescent="0.2">
      <c r="A49" s="24">
        <v>15</v>
      </c>
      <c r="B49" s="25" t="s">
        <v>32</v>
      </c>
      <c r="C49" s="31">
        <f>C50+C51</f>
        <v>20</v>
      </c>
      <c r="D49" s="31">
        <f t="shared" ref="D49:H49" si="93">D50+D51</f>
        <v>1811</v>
      </c>
      <c r="E49" s="31">
        <f t="shared" si="93"/>
        <v>1607</v>
      </c>
      <c r="F49" s="31">
        <f t="shared" si="93"/>
        <v>581</v>
      </c>
      <c r="G49" s="31">
        <f t="shared" si="93"/>
        <v>738</v>
      </c>
      <c r="H49" s="31">
        <f t="shared" si="93"/>
        <v>288</v>
      </c>
      <c r="I49" s="31"/>
      <c r="J49" s="27">
        <f>J50+J51</f>
        <v>376488</v>
      </c>
      <c r="K49" s="27">
        <f t="shared" ref="K49:N49" si="94">K50+K51</f>
        <v>1195560</v>
      </c>
      <c r="L49" s="27">
        <f t="shared" si="94"/>
        <v>653184</v>
      </c>
      <c r="M49" s="27">
        <f t="shared" si="94"/>
        <v>2225232</v>
      </c>
      <c r="N49" s="27">
        <f t="shared" si="94"/>
        <v>20027</v>
      </c>
      <c r="O49" s="31"/>
      <c r="P49" s="27">
        <f t="shared" ref="P49:Q49" si="95">P50+P51</f>
        <v>1506</v>
      </c>
      <c r="Q49" s="27">
        <f t="shared" si="95"/>
        <v>21533</v>
      </c>
    </row>
    <row r="50" spans="1:17" x14ac:dyDescent="0.25">
      <c r="A50" s="23"/>
      <c r="B50" s="28" t="s">
        <v>15</v>
      </c>
      <c r="C50" s="21">
        <f>C52+C53</f>
        <v>20</v>
      </c>
      <c r="D50" s="21">
        <f>D52+D53</f>
        <v>1811</v>
      </c>
      <c r="E50" s="21">
        <f>F50+G50+H50</f>
        <v>1607</v>
      </c>
      <c r="F50" s="21">
        <f t="shared" ref="F50:G50" si="96">F52+F53</f>
        <v>581</v>
      </c>
      <c r="G50" s="21">
        <f t="shared" si="96"/>
        <v>738</v>
      </c>
      <c r="H50" s="21">
        <f>H52+H53</f>
        <v>288</v>
      </c>
      <c r="I50" s="21">
        <v>3240</v>
      </c>
      <c r="J50" s="30">
        <f>(I50*F50*0.2)</f>
        <v>376488</v>
      </c>
      <c r="K50" s="30">
        <f>(I50*G50*0.5)</f>
        <v>1195560</v>
      </c>
      <c r="L50" s="30">
        <f>(I50*H50*0.7)</f>
        <v>653184</v>
      </c>
      <c r="M50" s="30">
        <f>J50+K50+L50</f>
        <v>2225232</v>
      </c>
      <c r="N50" s="30">
        <f>ROUND((M50*9/1000),0)</f>
        <v>20027</v>
      </c>
      <c r="O50" s="30"/>
      <c r="P50" s="30">
        <f>P52+P53</f>
        <v>1506</v>
      </c>
      <c r="Q50" s="30">
        <f>N50+P50</f>
        <v>21533</v>
      </c>
    </row>
    <row r="51" spans="1:17" x14ac:dyDescent="0.25">
      <c r="A51" s="23"/>
      <c r="B51" s="28" t="s">
        <v>16</v>
      </c>
      <c r="C51" s="21"/>
      <c r="D51" s="21"/>
      <c r="E51" s="21"/>
      <c r="F51" s="21"/>
      <c r="G51" s="21"/>
      <c r="H51" s="29"/>
      <c r="I51" s="21"/>
      <c r="J51" s="30"/>
      <c r="K51" s="30"/>
      <c r="L51" s="30"/>
      <c r="M51" s="30"/>
      <c r="N51" s="30"/>
      <c r="O51" s="30"/>
      <c r="P51" s="30"/>
      <c r="Q51" s="30"/>
    </row>
    <row r="52" spans="1:17" x14ac:dyDescent="0.25">
      <c r="A52" s="23"/>
      <c r="B52" s="38" t="s">
        <v>30</v>
      </c>
      <c r="C52" s="39">
        <v>8</v>
      </c>
      <c r="D52" s="39">
        <v>1062</v>
      </c>
      <c r="E52" s="21">
        <f t="shared" ref="E52:E53" si="97">F52+G52+H52</f>
        <v>909</v>
      </c>
      <c r="F52" s="39">
        <f>344-24</f>
        <v>320</v>
      </c>
      <c r="G52" s="39">
        <v>447</v>
      </c>
      <c r="H52" s="39">
        <f>292-150</f>
        <v>142</v>
      </c>
      <c r="I52" s="39"/>
      <c r="J52" s="40"/>
      <c r="K52" s="40"/>
      <c r="L52" s="40"/>
      <c r="M52" s="40"/>
      <c r="N52" s="40"/>
      <c r="O52" s="30">
        <v>621</v>
      </c>
      <c r="P52" s="40">
        <f>ROUND(D52*O52/1000,0)</f>
        <v>660</v>
      </c>
      <c r="Q52" s="44"/>
    </row>
    <row r="53" spans="1:17" x14ac:dyDescent="0.25">
      <c r="A53" s="23"/>
      <c r="B53" s="38" t="s">
        <v>31</v>
      </c>
      <c r="C53" s="39">
        <v>12</v>
      </c>
      <c r="D53" s="39">
        <v>749</v>
      </c>
      <c r="E53" s="21">
        <f t="shared" si="97"/>
        <v>698</v>
      </c>
      <c r="F53" s="39">
        <f>278-17</f>
        <v>261</v>
      </c>
      <c r="G53" s="39">
        <v>291</v>
      </c>
      <c r="H53" s="39">
        <f>196-50</f>
        <v>146</v>
      </c>
      <c r="I53" s="39"/>
      <c r="J53" s="40"/>
      <c r="K53" s="40"/>
      <c r="L53" s="40"/>
      <c r="M53" s="40"/>
      <c r="N53" s="40"/>
      <c r="O53" s="40">
        <v>1130</v>
      </c>
      <c r="P53" s="40">
        <f>ROUND(D53*O53/1000,0)</f>
        <v>846</v>
      </c>
      <c r="Q53" s="44"/>
    </row>
    <row r="54" spans="1:17" s="16" customFormat="1" x14ac:dyDescent="0.2">
      <c r="A54" s="24">
        <v>16</v>
      </c>
      <c r="B54" s="25" t="s">
        <v>33</v>
      </c>
      <c r="C54" s="31">
        <f>C55+C56</f>
        <v>19</v>
      </c>
      <c r="D54" s="31">
        <f t="shared" ref="D54:H54" si="98">D55+D56</f>
        <v>1778</v>
      </c>
      <c r="E54" s="31">
        <f t="shared" si="98"/>
        <v>1574</v>
      </c>
      <c r="F54" s="31">
        <f t="shared" si="98"/>
        <v>430</v>
      </c>
      <c r="G54" s="31">
        <f t="shared" si="98"/>
        <v>690</v>
      </c>
      <c r="H54" s="31">
        <f t="shared" si="98"/>
        <v>454</v>
      </c>
      <c r="I54" s="31"/>
      <c r="J54" s="32">
        <f t="shared" ref="J54:N54" si="99">J55+J56</f>
        <v>307020</v>
      </c>
      <c r="K54" s="32">
        <f t="shared" si="99"/>
        <v>1231650</v>
      </c>
      <c r="L54" s="32">
        <f t="shared" si="99"/>
        <v>1134546</v>
      </c>
      <c r="M54" s="32">
        <f t="shared" si="99"/>
        <v>2673216</v>
      </c>
      <c r="N54" s="32">
        <f t="shared" si="99"/>
        <v>24059</v>
      </c>
      <c r="O54" s="43"/>
      <c r="P54" s="32">
        <f t="shared" ref="P54:Q54" si="100">P55+P56</f>
        <v>1390</v>
      </c>
      <c r="Q54" s="32">
        <f t="shared" si="100"/>
        <v>25449</v>
      </c>
    </row>
    <row r="55" spans="1:17" x14ac:dyDescent="0.25">
      <c r="A55" s="23"/>
      <c r="B55" s="28" t="s">
        <v>15</v>
      </c>
      <c r="C55" s="21">
        <f>C57+C58</f>
        <v>19</v>
      </c>
      <c r="D55" s="21">
        <f>D57+D58</f>
        <v>1778</v>
      </c>
      <c r="E55" s="21">
        <f>F55+G55+H55</f>
        <v>1574</v>
      </c>
      <c r="F55" s="21">
        <f>F57+F58</f>
        <v>430</v>
      </c>
      <c r="G55" s="21">
        <f t="shared" ref="G55" si="101">G57+G58</f>
        <v>690</v>
      </c>
      <c r="H55" s="21">
        <f>H57+H58</f>
        <v>454</v>
      </c>
      <c r="I55" s="21">
        <v>3570</v>
      </c>
      <c r="J55" s="30">
        <f>(I55*F55*0.2)</f>
        <v>307020</v>
      </c>
      <c r="K55" s="30">
        <f>(I55*G55*0.5)</f>
        <v>1231650</v>
      </c>
      <c r="L55" s="30">
        <f>(I55*H55*0.7)</f>
        <v>1134546</v>
      </c>
      <c r="M55" s="30">
        <f>J55+K55+L55</f>
        <v>2673216</v>
      </c>
      <c r="N55" s="30">
        <f>ROUND((M55*9/1000),0)</f>
        <v>24059</v>
      </c>
      <c r="O55" s="30"/>
      <c r="P55" s="30">
        <f>P57+P58</f>
        <v>1390</v>
      </c>
      <c r="Q55" s="30">
        <f>N55+P55</f>
        <v>25449</v>
      </c>
    </row>
    <row r="56" spans="1:17" x14ac:dyDescent="0.25">
      <c r="A56" s="23"/>
      <c r="B56" s="28" t="s">
        <v>16</v>
      </c>
      <c r="C56" s="21"/>
      <c r="D56" s="21"/>
      <c r="E56" s="21"/>
      <c r="F56" s="21"/>
      <c r="G56" s="21"/>
      <c r="H56" s="29"/>
      <c r="I56" s="21"/>
      <c r="J56" s="30"/>
      <c r="K56" s="30"/>
      <c r="L56" s="30"/>
      <c r="M56" s="30"/>
      <c r="N56" s="30"/>
      <c r="O56" s="30"/>
      <c r="P56" s="30"/>
      <c r="Q56" s="37"/>
    </row>
    <row r="57" spans="1:17" x14ac:dyDescent="0.25">
      <c r="A57" s="23"/>
      <c r="B57" s="38" t="s">
        <v>30</v>
      </c>
      <c r="C57" s="39">
        <v>8</v>
      </c>
      <c r="D57" s="39">
        <v>1216</v>
      </c>
      <c r="E57" s="21">
        <f t="shared" ref="E57:E58" si="102">F57+G57+H57</f>
        <v>1015</v>
      </c>
      <c r="F57" s="39">
        <f>421-123</f>
        <v>298</v>
      </c>
      <c r="G57" s="39">
        <v>482</v>
      </c>
      <c r="H57" s="39">
        <f>435-200</f>
        <v>235</v>
      </c>
      <c r="I57" s="39"/>
      <c r="J57" s="40"/>
      <c r="K57" s="40"/>
      <c r="L57" s="40"/>
      <c r="M57" s="40"/>
      <c r="N57" s="40"/>
      <c r="O57" s="30">
        <v>621</v>
      </c>
      <c r="P57" s="40">
        <f>ROUND(D57*O57/1000,0)</f>
        <v>755</v>
      </c>
      <c r="Q57" s="44"/>
    </row>
    <row r="58" spans="1:17" x14ac:dyDescent="0.25">
      <c r="A58" s="23"/>
      <c r="B58" s="38" t="s">
        <v>31</v>
      </c>
      <c r="C58" s="39">
        <v>11</v>
      </c>
      <c r="D58" s="39">
        <v>562</v>
      </c>
      <c r="E58" s="21">
        <f t="shared" si="102"/>
        <v>559</v>
      </c>
      <c r="F58" s="39">
        <f>212-80</f>
        <v>132</v>
      </c>
      <c r="G58" s="39">
        <v>208</v>
      </c>
      <c r="H58" s="39">
        <v>219</v>
      </c>
      <c r="I58" s="39"/>
      <c r="J58" s="40"/>
      <c r="K58" s="40"/>
      <c r="L58" s="40"/>
      <c r="M58" s="40"/>
      <c r="N58" s="40"/>
      <c r="O58" s="40">
        <v>1130</v>
      </c>
      <c r="P58" s="40">
        <f>ROUND(D58*O58/1000,0)</f>
        <v>635</v>
      </c>
      <c r="Q58" s="44"/>
    </row>
    <row r="59" spans="1:17" s="16" customFormat="1" x14ac:dyDescent="0.2">
      <c r="A59" s="24">
        <v>17</v>
      </c>
      <c r="B59" s="25" t="s">
        <v>34</v>
      </c>
      <c r="C59" s="31">
        <f>C60+C61</f>
        <v>22</v>
      </c>
      <c r="D59" s="31">
        <f t="shared" ref="D59" si="103">D60+D61</f>
        <v>1734</v>
      </c>
      <c r="E59" s="31">
        <f>E60+E61</f>
        <v>1543</v>
      </c>
      <c r="F59" s="31">
        <f>F60+F61</f>
        <v>524</v>
      </c>
      <c r="G59" s="31">
        <f t="shared" ref="G59:H59" si="104">G60+G61</f>
        <v>745</v>
      </c>
      <c r="H59" s="31">
        <f t="shared" si="104"/>
        <v>274</v>
      </c>
      <c r="I59" s="31"/>
      <c r="J59" s="27">
        <f>J60+J61</f>
        <v>334242</v>
      </c>
      <c r="K59" s="27">
        <f t="shared" ref="K59:N59" si="105">K60+K61</f>
        <v>1190323</v>
      </c>
      <c r="L59" s="27">
        <f t="shared" si="105"/>
        <v>612977.4</v>
      </c>
      <c r="M59" s="27">
        <f t="shared" si="105"/>
        <v>2137542.4</v>
      </c>
      <c r="N59" s="27">
        <f t="shared" si="105"/>
        <v>19238</v>
      </c>
      <c r="O59" s="31"/>
      <c r="P59" s="27">
        <f>P60+P61</f>
        <v>1598</v>
      </c>
      <c r="Q59" s="27">
        <f t="shared" ref="Q59" si="106">Q60+Q61</f>
        <v>20836</v>
      </c>
    </row>
    <row r="60" spans="1:17" x14ac:dyDescent="0.25">
      <c r="A60" s="23"/>
      <c r="B60" s="28" t="s">
        <v>15</v>
      </c>
      <c r="C60" s="21">
        <v>21</v>
      </c>
      <c r="D60" s="21">
        <v>1722</v>
      </c>
      <c r="E60" s="21">
        <f t="shared" ref="E60:E63" si="107">F60+G60+H60</f>
        <v>1534</v>
      </c>
      <c r="F60" s="21">
        <f>F62+F63-F61</f>
        <v>519</v>
      </c>
      <c r="G60" s="21">
        <f t="shared" ref="G60" si="108">G62+G63-G61</f>
        <v>742</v>
      </c>
      <c r="H60" s="21">
        <f>H62+H63-H61</f>
        <v>273</v>
      </c>
      <c r="I60" s="21">
        <v>3200</v>
      </c>
      <c r="J60" s="30">
        <f t="shared" ref="J60:J61" si="109">(I60*F60*0.2)</f>
        <v>332160</v>
      </c>
      <c r="K60" s="30">
        <f t="shared" ref="K60:K61" si="110">(I60*G60*0.5)</f>
        <v>1187200</v>
      </c>
      <c r="L60" s="30">
        <f t="shared" ref="L60:L61" si="111">(I60*H60*0.7)</f>
        <v>611520</v>
      </c>
      <c r="M60" s="30">
        <f t="shared" ref="M60:M61" si="112">J60+K60+L60</f>
        <v>2130880</v>
      </c>
      <c r="N60" s="30">
        <f t="shared" ref="N60:N61" si="113">ROUND((M60*9/1000),0)</f>
        <v>19178</v>
      </c>
      <c r="O60" s="30"/>
      <c r="P60" s="30">
        <v>1591</v>
      </c>
      <c r="Q60" s="30">
        <f t="shared" ref="Q60:Q61" si="114">N60+P60</f>
        <v>20769</v>
      </c>
    </row>
    <row r="61" spans="1:17" x14ac:dyDescent="0.25">
      <c r="A61" s="23"/>
      <c r="B61" s="28" t="s">
        <v>16</v>
      </c>
      <c r="C61" s="21">
        <v>1</v>
      </c>
      <c r="D61" s="21">
        <v>12</v>
      </c>
      <c r="E61" s="21">
        <f t="shared" si="107"/>
        <v>9</v>
      </c>
      <c r="F61" s="21">
        <v>5</v>
      </c>
      <c r="G61" s="21">
        <v>3</v>
      </c>
      <c r="H61" s="29">
        <v>1</v>
      </c>
      <c r="I61" s="21">
        <v>2082</v>
      </c>
      <c r="J61" s="30">
        <f t="shared" si="109"/>
        <v>2082</v>
      </c>
      <c r="K61" s="30">
        <f t="shared" si="110"/>
        <v>3123</v>
      </c>
      <c r="L61" s="30">
        <f t="shared" si="111"/>
        <v>1457.3999999999999</v>
      </c>
      <c r="M61" s="30">
        <f t="shared" si="112"/>
        <v>6662.4</v>
      </c>
      <c r="N61" s="30">
        <f t="shared" si="113"/>
        <v>60</v>
      </c>
      <c r="O61" s="30">
        <v>621</v>
      </c>
      <c r="P61" s="30">
        <f>ROUND(D61*O61/1000,0)</f>
        <v>7</v>
      </c>
      <c r="Q61" s="30">
        <f t="shared" si="114"/>
        <v>67</v>
      </c>
    </row>
    <row r="62" spans="1:17" x14ac:dyDescent="0.25">
      <c r="A62" s="23"/>
      <c r="B62" s="38" t="s">
        <v>30</v>
      </c>
      <c r="C62" s="39">
        <f>6+1</f>
        <v>7</v>
      </c>
      <c r="D62" s="39">
        <f>997+12</f>
        <v>1009</v>
      </c>
      <c r="E62" s="21">
        <f t="shared" si="107"/>
        <v>873</v>
      </c>
      <c r="F62" s="39">
        <f>426-130</f>
        <v>296</v>
      </c>
      <c r="G62" s="39">
        <v>453</v>
      </c>
      <c r="H62" s="39">
        <f>224-100</f>
        <v>124</v>
      </c>
      <c r="I62" s="39"/>
      <c r="J62" s="40"/>
      <c r="K62" s="40"/>
      <c r="L62" s="40"/>
      <c r="M62" s="40"/>
      <c r="N62" s="40"/>
      <c r="O62" s="30">
        <v>621</v>
      </c>
      <c r="P62" s="40">
        <f>ROUND(D62*O62/1000,0)</f>
        <v>627</v>
      </c>
      <c r="Q62" s="44"/>
    </row>
    <row r="63" spans="1:17" x14ac:dyDescent="0.25">
      <c r="A63" s="23"/>
      <c r="B63" s="38" t="s">
        <v>31</v>
      </c>
      <c r="C63" s="39">
        <v>15</v>
      </c>
      <c r="D63" s="39">
        <v>725</v>
      </c>
      <c r="E63" s="21">
        <f t="shared" si="107"/>
        <v>670</v>
      </c>
      <c r="F63" s="39">
        <f>283-55</f>
        <v>228</v>
      </c>
      <c r="G63" s="39">
        <v>292</v>
      </c>
      <c r="H63" s="39">
        <f>200-50</f>
        <v>150</v>
      </c>
      <c r="I63" s="39"/>
      <c r="J63" s="40"/>
      <c r="K63" s="40"/>
      <c r="L63" s="40"/>
      <c r="M63" s="40"/>
      <c r="N63" s="40"/>
      <c r="O63" s="40">
        <v>1130</v>
      </c>
      <c r="P63" s="40">
        <f>ROUND(D63*O63/1000,0)</f>
        <v>819</v>
      </c>
      <c r="Q63" s="44"/>
    </row>
    <row r="64" spans="1:17" s="16" customFormat="1" x14ac:dyDescent="0.2">
      <c r="A64" s="24">
        <v>18</v>
      </c>
      <c r="B64" s="25" t="s">
        <v>35</v>
      </c>
      <c r="C64" s="31">
        <f>C65+C66</f>
        <v>26</v>
      </c>
      <c r="D64" s="31">
        <f t="shared" ref="D64:E64" si="115">D65+D66</f>
        <v>8167</v>
      </c>
      <c r="E64" s="31">
        <f t="shared" si="115"/>
        <v>6205</v>
      </c>
      <c r="F64" s="31">
        <f>F65+F66</f>
        <v>1730</v>
      </c>
      <c r="G64" s="31">
        <f t="shared" ref="G64:H64" si="116">G65+G66</f>
        <v>3514</v>
      </c>
      <c r="H64" s="31">
        <f t="shared" si="116"/>
        <v>961</v>
      </c>
      <c r="I64" s="31"/>
      <c r="J64" s="27">
        <f>J65+J66</f>
        <v>1223356.2</v>
      </c>
      <c r="K64" s="27">
        <f t="shared" ref="K64:N64" si="117">K65+K66</f>
        <v>6241489</v>
      </c>
      <c r="L64" s="27">
        <f t="shared" si="117"/>
        <v>2387619.5</v>
      </c>
      <c r="M64" s="27">
        <f t="shared" si="117"/>
        <v>9852464.6999999993</v>
      </c>
      <c r="N64" s="27">
        <f t="shared" si="117"/>
        <v>88673</v>
      </c>
      <c r="O64" s="37"/>
      <c r="P64" s="27">
        <f t="shared" ref="P64:Q64" si="118">P65+P66</f>
        <v>6107</v>
      </c>
      <c r="Q64" s="27">
        <f t="shared" si="118"/>
        <v>94780</v>
      </c>
    </row>
    <row r="65" spans="1:17" x14ac:dyDescent="0.25">
      <c r="A65" s="23"/>
      <c r="B65" s="28" t="s">
        <v>15</v>
      </c>
      <c r="C65" s="21">
        <v>25</v>
      </c>
      <c r="D65" s="21">
        <v>8047</v>
      </c>
      <c r="E65" s="21">
        <f t="shared" ref="E65:E71" si="119">F65+G65+H65</f>
        <v>6106</v>
      </c>
      <c r="F65" s="21">
        <f>F67+F68-F66</f>
        <v>1689</v>
      </c>
      <c r="G65" s="21">
        <f t="shared" ref="G65" si="120">G67+G68-G66</f>
        <v>3470</v>
      </c>
      <c r="H65" s="21">
        <f>H67+H68-H66</f>
        <v>947</v>
      </c>
      <c r="I65" s="21">
        <v>3571</v>
      </c>
      <c r="J65" s="30">
        <f t="shared" ref="J65:J66" si="121">(I65*F65*0.2)</f>
        <v>1206283.8</v>
      </c>
      <c r="K65" s="30">
        <f t="shared" ref="K65:K66" si="122">(I65*G65*0.5)</f>
        <v>6195685</v>
      </c>
      <c r="L65" s="30">
        <f t="shared" ref="L65:L66" si="123">(I65*H65*0.7)</f>
        <v>2367215.9</v>
      </c>
      <c r="M65" s="30">
        <f t="shared" ref="M65:M66" si="124">J65+K65+L65</f>
        <v>9769184.6999999993</v>
      </c>
      <c r="N65" s="30">
        <f t="shared" ref="N65:N66" si="125">ROUND((M65*9/1000),0)</f>
        <v>87923</v>
      </c>
      <c r="O65" s="30"/>
      <c r="P65" s="30">
        <v>5971</v>
      </c>
      <c r="Q65" s="30">
        <f t="shared" ref="Q65:Q66" si="126">N65+P65</f>
        <v>93894</v>
      </c>
    </row>
    <row r="66" spans="1:17" x14ac:dyDescent="0.25">
      <c r="A66" s="23"/>
      <c r="B66" s="28" t="s">
        <v>16</v>
      </c>
      <c r="C66" s="21">
        <v>1</v>
      </c>
      <c r="D66" s="21">
        <v>120</v>
      </c>
      <c r="E66" s="21">
        <f t="shared" si="119"/>
        <v>99</v>
      </c>
      <c r="F66" s="21">
        <v>41</v>
      </c>
      <c r="G66" s="21">
        <v>44</v>
      </c>
      <c r="H66" s="29">
        <v>14</v>
      </c>
      <c r="I66" s="21">
        <v>2082</v>
      </c>
      <c r="J66" s="30">
        <f t="shared" si="121"/>
        <v>17072.400000000001</v>
      </c>
      <c r="K66" s="30">
        <f t="shared" si="122"/>
        <v>45804</v>
      </c>
      <c r="L66" s="30">
        <f t="shared" si="123"/>
        <v>20403.599999999999</v>
      </c>
      <c r="M66" s="30">
        <f t="shared" si="124"/>
        <v>83280</v>
      </c>
      <c r="N66" s="30">
        <f t="shared" si="125"/>
        <v>750</v>
      </c>
      <c r="O66" s="40">
        <v>1130</v>
      </c>
      <c r="P66" s="30">
        <f>ROUND(D66*O66/1000,0)</f>
        <v>136</v>
      </c>
      <c r="Q66" s="30">
        <f t="shared" si="126"/>
        <v>886</v>
      </c>
    </row>
    <row r="67" spans="1:17" x14ac:dyDescent="0.25">
      <c r="A67" s="23"/>
      <c r="B67" s="38" t="s">
        <v>30</v>
      </c>
      <c r="C67" s="39">
        <v>13</v>
      </c>
      <c r="D67" s="39">
        <v>5970</v>
      </c>
      <c r="E67" s="21">
        <f t="shared" si="119"/>
        <v>4398</v>
      </c>
      <c r="F67" s="39">
        <v>1217</v>
      </c>
      <c r="G67" s="39">
        <v>2616</v>
      </c>
      <c r="H67" s="39">
        <f>1065-500</f>
        <v>565</v>
      </c>
      <c r="I67" s="39"/>
      <c r="J67" s="40"/>
      <c r="K67" s="40"/>
      <c r="L67" s="40"/>
      <c r="M67" s="40"/>
      <c r="N67" s="40"/>
      <c r="O67" s="30">
        <v>621</v>
      </c>
      <c r="P67" s="40">
        <f>ROUND(D67*O67/1000,0)</f>
        <v>3707</v>
      </c>
      <c r="Q67" s="44"/>
    </row>
    <row r="68" spans="1:17" x14ac:dyDescent="0.25">
      <c r="A68" s="23"/>
      <c r="B68" s="38" t="s">
        <v>31</v>
      </c>
      <c r="C68" s="39">
        <f>12+1</f>
        <v>13</v>
      </c>
      <c r="D68" s="39">
        <f>2077+120</f>
        <v>2197</v>
      </c>
      <c r="E68" s="21">
        <f t="shared" si="119"/>
        <v>1807</v>
      </c>
      <c r="F68" s="39">
        <v>513</v>
      </c>
      <c r="G68" s="39">
        <v>898</v>
      </c>
      <c r="H68" s="39">
        <v>396</v>
      </c>
      <c r="I68" s="39"/>
      <c r="J68" s="40"/>
      <c r="K68" s="40"/>
      <c r="L68" s="40"/>
      <c r="M68" s="40"/>
      <c r="N68" s="40"/>
      <c r="O68" s="40">
        <v>1130</v>
      </c>
      <c r="P68" s="40">
        <f>ROUND(D68*O68/1000,0)+1</f>
        <v>2484</v>
      </c>
      <c r="Q68" s="44"/>
    </row>
    <row r="69" spans="1:17" s="16" customFormat="1" x14ac:dyDescent="0.2">
      <c r="A69" s="24">
        <v>19</v>
      </c>
      <c r="B69" s="25" t="s">
        <v>36</v>
      </c>
      <c r="C69" s="31">
        <f>C70+C71</f>
        <v>10</v>
      </c>
      <c r="D69" s="31">
        <f>D70+D71</f>
        <v>3324</v>
      </c>
      <c r="E69" s="31">
        <f t="shared" ref="E69:H69" si="127">E70+E71</f>
        <v>2732</v>
      </c>
      <c r="F69" s="31">
        <f t="shared" si="127"/>
        <v>1064</v>
      </c>
      <c r="G69" s="31">
        <f t="shared" si="127"/>
        <v>1202</v>
      </c>
      <c r="H69" s="31">
        <f t="shared" si="127"/>
        <v>466</v>
      </c>
      <c r="I69" s="31"/>
      <c r="J69" s="27">
        <f>J70+J71</f>
        <v>671894.4</v>
      </c>
      <c r="K69" s="27">
        <f t="shared" ref="K69:N69" si="128">K70+K71</f>
        <v>1906142</v>
      </c>
      <c r="L69" s="27">
        <f t="shared" si="128"/>
        <v>1034361.9999999999</v>
      </c>
      <c r="M69" s="27">
        <f t="shared" si="128"/>
        <v>3612398.4</v>
      </c>
      <c r="N69" s="27">
        <f t="shared" si="128"/>
        <v>32512</v>
      </c>
      <c r="O69" s="37"/>
      <c r="P69" s="27">
        <f t="shared" ref="P69:Q69" si="129">P70+P71</f>
        <v>2149</v>
      </c>
      <c r="Q69" s="27">
        <f t="shared" si="129"/>
        <v>34661</v>
      </c>
    </row>
    <row r="70" spans="1:17" x14ac:dyDescent="0.25">
      <c r="A70" s="23"/>
      <c r="B70" s="28" t="s">
        <v>15</v>
      </c>
      <c r="C70" s="21">
        <f>C72+C73</f>
        <v>10</v>
      </c>
      <c r="D70" s="21">
        <v>3294</v>
      </c>
      <c r="E70" s="21">
        <f t="shared" si="119"/>
        <v>2702</v>
      </c>
      <c r="F70" s="21">
        <f>F72+F73-F71</f>
        <v>1044</v>
      </c>
      <c r="G70" s="21">
        <f t="shared" ref="G70" si="130">G72+G73-G71</f>
        <v>1195</v>
      </c>
      <c r="H70" s="21">
        <f>H72+H73-H71</f>
        <v>463</v>
      </c>
      <c r="I70" s="21">
        <v>3178</v>
      </c>
      <c r="J70" s="30">
        <f>(I70*F70*0.2)</f>
        <v>663566.4</v>
      </c>
      <c r="K70" s="30">
        <f>(I70*G70*0.5)</f>
        <v>1898855</v>
      </c>
      <c r="L70" s="30">
        <f>(I70*H70*0.7)</f>
        <v>1029989.7999999999</v>
      </c>
      <c r="M70" s="30">
        <f t="shared" ref="M70:M71" si="131">J70+K70+L70</f>
        <v>3592411.1999999997</v>
      </c>
      <c r="N70" s="30">
        <f t="shared" ref="N70:N71" si="132">ROUND((M70*9/1000),0)</f>
        <v>32332</v>
      </c>
      <c r="O70" s="30"/>
      <c r="P70" s="30">
        <f t="shared" ref="P70" si="133">P72+P73</f>
        <v>2130</v>
      </c>
      <c r="Q70" s="30">
        <f t="shared" ref="Q70:Q71" si="134">N70+P70</f>
        <v>34462</v>
      </c>
    </row>
    <row r="71" spans="1:17" x14ac:dyDescent="0.25">
      <c r="A71" s="23"/>
      <c r="B71" s="28" t="s">
        <v>16</v>
      </c>
      <c r="C71" s="21"/>
      <c r="D71" s="21">
        <v>30</v>
      </c>
      <c r="E71" s="21">
        <f t="shared" si="119"/>
        <v>30</v>
      </c>
      <c r="F71" s="21">
        <v>20</v>
      </c>
      <c r="G71" s="21">
        <v>7</v>
      </c>
      <c r="H71" s="29">
        <v>3</v>
      </c>
      <c r="I71" s="21">
        <v>2082</v>
      </c>
      <c r="J71" s="30">
        <f t="shared" ref="J71" si="135">(I71*F71*0.2)</f>
        <v>8328</v>
      </c>
      <c r="K71" s="30">
        <f t="shared" ref="K71" si="136">(I71*G71*0.5)</f>
        <v>7287</v>
      </c>
      <c r="L71" s="30">
        <f t="shared" ref="L71" si="137">(I71*H71*0.7)</f>
        <v>4372.2</v>
      </c>
      <c r="M71" s="30">
        <f t="shared" si="131"/>
        <v>19987.2</v>
      </c>
      <c r="N71" s="30">
        <f t="shared" si="132"/>
        <v>180</v>
      </c>
      <c r="O71" s="30">
        <v>621</v>
      </c>
      <c r="P71" s="30">
        <f>ROUND(D71*O71/1000,0)</f>
        <v>19</v>
      </c>
      <c r="Q71" s="30">
        <f t="shared" si="134"/>
        <v>199</v>
      </c>
    </row>
    <row r="72" spans="1:17" x14ac:dyDescent="0.25">
      <c r="A72" s="23"/>
      <c r="B72" s="38" t="s">
        <v>30</v>
      </c>
      <c r="C72" s="39">
        <v>9</v>
      </c>
      <c r="D72" s="39">
        <f>3164+30</f>
        <v>3194</v>
      </c>
      <c r="E72" s="21">
        <f>F72+G72+H72</f>
        <v>2604</v>
      </c>
      <c r="F72" s="39">
        <v>1028</v>
      </c>
      <c r="G72" s="39">
        <v>1143</v>
      </c>
      <c r="H72" s="39">
        <f>603-170</f>
        <v>433</v>
      </c>
      <c r="I72" s="39"/>
      <c r="J72" s="40"/>
      <c r="K72" s="40"/>
      <c r="L72" s="40"/>
      <c r="M72" s="40"/>
      <c r="N72" s="40"/>
      <c r="O72" s="30">
        <v>621</v>
      </c>
      <c r="P72" s="40">
        <f>ROUND(D72*O72/1000,0)</f>
        <v>1983</v>
      </c>
      <c r="Q72" s="44"/>
    </row>
    <row r="73" spans="1:17" x14ac:dyDescent="0.25">
      <c r="A73" s="23"/>
      <c r="B73" s="38" t="s">
        <v>31</v>
      </c>
      <c r="C73" s="39">
        <v>1</v>
      </c>
      <c r="D73" s="39">
        <v>130</v>
      </c>
      <c r="E73" s="21">
        <f>F73+G73+H73</f>
        <v>128</v>
      </c>
      <c r="F73" s="39">
        <v>36</v>
      </c>
      <c r="G73" s="39">
        <v>59</v>
      </c>
      <c r="H73" s="39">
        <v>33</v>
      </c>
      <c r="I73" s="39"/>
      <c r="J73" s="40"/>
      <c r="K73" s="40"/>
      <c r="L73" s="40"/>
      <c r="M73" s="40"/>
      <c r="N73" s="40"/>
      <c r="O73" s="40">
        <v>1130</v>
      </c>
      <c r="P73" s="40">
        <f>ROUND(D73*O73/1000,0)</f>
        <v>147</v>
      </c>
      <c r="Q73" s="44"/>
    </row>
    <row r="74" spans="1:17" s="16" customFormat="1" ht="18.75" customHeight="1" x14ac:dyDescent="0.2">
      <c r="A74" s="24">
        <v>20</v>
      </c>
      <c r="B74" s="25" t="s">
        <v>37</v>
      </c>
      <c r="C74" s="31">
        <f>C75+C76</f>
        <v>24</v>
      </c>
      <c r="D74" s="31">
        <f t="shared" ref="D74:H74" si="138">D75+D76</f>
        <v>718</v>
      </c>
      <c r="E74" s="31">
        <f t="shared" si="138"/>
        <v>587</v>
      </c>
      <c r="F74" s="31">
        <f t="shared" si="138"/>
        <v>211</v>
      </c>
      <c r="G74" s="31">
        <f t="shared" si="138"/>
        <v>280</v>
      </c>
      <c r="H74" s="31">
        <f t="shared" si="138"/>
        <v>96</v>
      </c>
      <c r="I74" s="31"/>
      <c r="J74" s="27">
        <f>J75+J76</f>
        <v>92840</v>
      </c>
      <c r="K74" s="27">
        <f t="shared" ref="K74:N74" si="139">K75+K76</f>
        <v>308000</v>
      </c>
      <c r="L74" s="27">
        <f t="shared" si="139"/>
        <v>147840</v>
      </c>
      <c r="M74" s="27">
        <f t="shared" si="139"/>
        <v>548680</v>
      </c>
      <c r="N74" s="27">
        <f t="shared" si="139"/>
        <v>4938</v>
      </c>
      <c r="O74" s="37"/>
      <c r="P74" s="27">
        <f t="shared" ref="P74:Q74" si="140">P75+P76</f>
        <v>811</v>
      </c>
      <c r="Q74" s="27">
        <f t="shared" si="140"/>
        <v>5749</v>
      </c>
    </row>
    <row r="75" spans="1:17" x14ac:dyDescent="0.25">
      <c r="A75" s="23"/>
      <c r="B75" s="28" t="s">
        <v>15</v>
      </c>
      <c r="C75" s="21">
        <f>C77+C78</f>
        <v>24</v>
      </c>
      <c r="D75" s="21">
        <v>718</v>
      </c>
      <c r="E75" s="21">
        <f>F75+G75+H75</f>
        <v>587</v>
      </c>
      <c r="F75" s="21">
        <f t="shared" ref="F75:G75" si="141">F77+F78</f>
        <v>211</v>
      </c>
      <c r="G75" s="21">
        <f t="shared" si="141"/>
        <v>280</v>
      </c>
      <c r="H75" s="21">
        <f>H77+H78</f>
        <v>96</v>
      </c>
      <c r="I75" s="21">
        <v>2200</v>
      </c>
      <c r="J75" s="30">
        <f>(I75*F75*0.2)</f>
        <v>92840</v>
      </c>
      <c r="K75" s="30">
        <f>(I75*G75*0.5)</f>
        <v>308000</v>
      </c>
      <c r="L75" s="30">
        <f>(I75*H75*0.7)</f>
        <v>147840</v>
      </c>
      <c r="M75" s="30">
        <f t="shared" ref="M75" si="142">J75+K75+L75</f>
        <v>548680</v>
      </c>
      <c r="N75" s="30">
        <f t="shared" ref="N75" si="143">ROUND((M75*9/1000),0)</f>
        <v>4938</v>
      </c>
      <c r="O75" s="30"/>
      <c r="P75" s="30">
        <f t="shared" ref="P75" si="144">P77+P78</f>
        <v>811</v>
      </c>
      <c r="Q75" s="30">
        <f t="shared" ref="Q75" si="145">N75+P75</f>
        <v>5749</v>
      </c>
    </row>
    <row r="76" spans="1:17" x14ac:dyDescent="0.25">
      <c r="A76" s="23"/>
      <c r="B76" s="28" t="s">
        <v>16</v>
      </c>
      <c r="C76" s="21"/>
      <c r="D76" s="21"/>
      <c r="E76" s="21"/>
      <c r="F76" s="21"/>
      <c r="G76" s="21"/>
      <c r="H76" s="29"/>
      <c r="I76" s="21"/>
      <c r="J76" s="30"/>
      <c r="K76" s="30"/>
      <c r="L76" s="30"/>
      <c r="M76" s="30"/>
      <c r="N76" s="30"/>
      <c r="O76" s="30"/>
      <c r="P76" s="30"/>
      <c r="Q76" s="37"/>
    </row>
    <row r="77" spans="1:17" x14ac:dyDescent="0.25">
      <c r="A77" s="23"/>
      <c r="B77" s="38" t="s">
        <v>30</v>
      </c>
      <c r="C77" s="39"/>
      <c r="D77" s="39"/>
      <c r="E77" s="21"/>
      <c r="F77" s="39"/>
      <c r="G77" s="39"/>
      <c r="H77" s="39"/>
      <c r="I77" s="39"/>
      <c r="J77" s="40"/>
      <c r="K77" s="40"/>
      <c r="L77" s="40"/>
      <c r="M77" s="40"/>
      <c r="N77" s="40"/>
      <c r="O77" s="40"/>
      <c r="P77" s="40"/>
      <c r="Q77" s="44"/>
    </row>
    <row r="78" spans="1:17" x14ac:dyDescent="0.25">
      <c r="A78" s="23"/>
      <c r="B78" s="38" t="s">
        <v>31</v>
      </c>
      <c r="C78" s="39">
        <v>24</v>
      </c>
      <c r="D78" s="39">
        <v>718</v>
      </c>
      <c r="E78" s="21">
        <f>F78+G78+H78</f>
        <v>587</v>
      </c>
      <c r="F78" s="39">
        <f>301-90</f>
        <v>211</v>
      </c>
      <c r="G78" s="39">
        <f>380-100</f>
        <v>280</v>
      </c>
      <c r="H78" s="39">
        <f>324-100-128</f>
        <v>96</v>
      </c>
      <c r="I78" s="39"/>
      <c r="J78" s="40"/>
      <c r="K78" s="40"/>
      <c r="L78" s="40"/>
      <c r="M78" s="40"/>
      <c r="N78" s="40"/>
      <c r="O78" s="40">
        <v>1130</v>
      </c>
      <c r="P78" s="40">
        <f>ROUND(D78*O78/1000,0)</f>
        <v>811</v>
      </c>
      <c r="Q78" s="44"/>
    </row>
    <row r="79" spans="1:17" s="16" customFormat="1" x14ac:dyDescent="0.2">
      <c r="A79" s="24">
        <v>21</v>
      </c>
      <c r="B79" s="25" t="s">
        <v>38</v>
      </c>
      <c r="C79" s="31">
        <f>C80+C81</f>
        <v>16</v>
      </c>
      <c r="D79" s="31">
        <f t="shared" ref="D79:H79" si="146">D80+D81</f>
        <v>1800</v>
      </c>
      <c r="E79" s="31">
        <f t="shared" si="146"/>
        <v>1672</v>
      </c>
      <c r="F79" s="31">
        <f t="shared" si="146"/>
        <v>916</v>
      </c>
      <c r="G79" s="31">
        <f t="shared" si="146"/>
        <v>569</v>
      </c>
      <c r="H79" s="31">
        <f t="shared" si="146"/>
        <v>187</v>
      </c>
      <c r="I79" s="31"/>
      <c r="J79" s="27">
        <f>J80+J81</f>
        <v>476320</v>
      </c>
      <c r="K79" s="27">
        <f t="shared" ref="K79:N79" si="147">K80+K81</f>
        <v>739700</v>
      </c>
      <c r="L79" s="27">
        <f t="shared" si="147"/>
        <v>340340</v>
      </c>
      <c r="M79" s="27">
        <f t="shared" si="147"/>
        <v>1556360</v>
      </c>
      <c r="N79" s="27">
        <f t="shared" si="147"/>
        <v>14007</v>
      </c>
      <c r="O79" s="37"/>
      <c r="P79" s="37">
        <f>P80+P81</f>
        <v>1317</v>
      </c>
      <c r="Q79" s="37">
        <f>Q80+Q81</f>
        <v>15324</v>
      </c>
    </row>
    <row r="80" spans="1:17" x14ac:dyDescent="0.25">
      <c r="A80" s="23"/>
      <c r="B80" s="28" t="s">
        <v>15</v>
      </c>
      <c r="C80" s="21">
        <f>C82+C83</f>
        <v>16</v>
      </c>
      <c r="D80" s="21">
        <f>D82+D83</f>
        <v>1800</v>
      </c>
      <c r="E80" s="21">
        <f t="shared" ref="E80:E83" si="148">F80+G80+H80</f>
        <v>1672</v>
      </c>
      <c r="F80" s="21">
        <f>F82+F83</f>
        <v>916</v>
      </c>
      <c r="G80" s="21">
        <f t="shared" ref="G80" si="149">G82+G83</f>
        <v>569</v>
      </c>
      <c r="H80" s="21">
        <f>H82+H83</f>
        <v>187</v>
      </c>
      <c r="I80" s="21">
        <v>2600</v>
      </c>
      <c r="J80" s="30">
        <f>(I80*F80*0.2)</f>
        <v>476320</v>
      </c>
      <c r="K80" s="30">
        <f>(I80*G80*0.5)</f>
        <v>739700</v>
      </c>
      <c r="L80" s="30">
        <f>(I80*H80*0.7)</f>
        <v>340340</v>
      </c>
      <c r="M80" s="30">
        <f t="shared" ref="M80" si="150">J80+K80+L80</f>
        <v>1556360</v>
      </c>
      <c r="N80" s="30">
        <f t="shared" ref="N80" si="151">ROUND((M80*9/1000),0)</f>
        <v>14007</v>
      </c>
      <c r="O80" s="30"/>
      <c r="P80" s="30">
        <f t="shared" ref="P80" si="152">P82+P83</f>
        <v>1317</v>
      </c>
      <c r="Q80" s="30">
        <f t="shared" ref="Q80" si="153">N80+P80</f>
        <v>15324</v>
      </c>
    </row>
    <row r="81" spans="1:17" x14ac:dyDescent="0.25">
      <c r="A81" s="23"/>
      <c r="B81" s="28" t="s">
        <v>16</v>
      </c>
      <c r="C81" s="21"/>
      <c r="D81" s="21"/>
      <c r="E81" s="21"/>
      <c r="F81" s="21"/>
      <c r="G81" s="21"/>
      <c r="H81" s="29"/>
      <c r="I81" s="21"/>
      <c r="J81" s="30"/>
      <c r="K81" s="30"/>
      <c r="L81" s="30"/>
      <c r="M81" s="30"/>
      <c r="N81" s="30"/>
      <c r="O81" s="30"/>
      <c r="P81" s="30"/>
      <c r="Q81" s="37"/>
    </row>
    <row r="82" spans="1:17" x14ac:dyDescent="0.25">
      <c r="A82" s="23"/>
      <c r="B82" s="38" t="s">
        <v>30</v>
      </c>
      <c r="C82" s="39">
        <v>5</v>
      </c>
      <c r="D82" s="41">
        <v>1408</v>
      </c>
      <c r="E82" s="21">
        <f t="shared" si="148"/>
        <v>1283</v>
      </c>
      <c r="F82" s="39">
        <f>462+350</f>
        <v>812</v>
      </c>
      <c r="G82" s="39">
        <v>378</v>
      </c>
      <c r="H82" s="39">
        <f>213-120</f>
        <v>93</v>
      </c>
      <c r="I82" s="35"/>
      <c r="J82" s="40"/>
      <c r="K82" s="40"/>
      <c r="L82" s="40"/>
      <c r="M82" s="40"/>
      <c r="N82" s="40"/>
      <c r="O82" s="30">
        <v>621</v>
      </c>
      <c r="P82" s="40">
        <f>ROUND(D82*O82/1000,0)</f>
        <v>874</v>
      </c>
      <c r="Q82" s="44"/>
    </row>
    <row r="83" spans="1:17" x14ac:dyDescent="0.25">
      <c r="A83" s="23"/>
      <c r="B83" s="38" t="s">
        <v>31</v>
      </c>
      <c r="C83" s="39">
        <v>11</v>
      </c>
      <c r="D83" s="41">
        <v>392</v>
      </c>
      <c r="E83" s="21">
        <f t="shared" si="148"/>
        <v>389</v>
      </c>
      <c r="F83" s="39">
        <f>209-105</f>
        <v>104</v>
      </c>
      <c r="G83" s="39">
        <f>341-150</f>
        <v>191</v>
      </c>
      <c r="H83" s="39">
        <f>144-50</f>
        <v>94</v>
      </c>
      <c r="I83" s="35"/>
      <c r="J83" s="40"/>
      <c r="K83" s="40"/>
      <c r="L83" s="40"/>
      <c r="M83" s="40"/>
      <c r="N83" s="40"/>
      <c r="O83" s="40">
        <v>1130</v>
      </c>
      <c r="P83" s="40">
        <f>ROUND(D83*O83/1000,0)</f>
        <v>443</v>
      </c>
      <c r="Q83" s="44"/>
    </row>
    <row r="84" spans="1:17" s="16" customFormat="1" x14ac:dyDescent="0.2">
      <c r="A84" s="24">
        <v>22</v>
      </c>
      <c r="B84" s="25" t="s">
        <v>39</v>
      </c>
      <c r="C84" s="31">
        <f>C85+C86</f>
        <v>18</v>
      </c>
      <c r="D84" s="31">
        <f t="shared" ref="D84:H84" si="154">D85+D86</f>
        <v>2162</v>
      </c>
      <c r="E84" s="31">
        <f t="shared" si="154"/>
        <v>1955</v>
      </c>
      <c r="F84" s="31">
        <f t="shared" si="154"/>
        <v>676</v>
      </c>
      <c r="G84" s="31">
        <f t="shared" si="154"/>
        <v>1009</v>
      </c>
      <c r="H84" s="31">
        <f t="shared" si="154"/>
        <v>270</v>
      </c>
      <c r="I84" s="31"/>
      <c r="J84" s="27">
        <f>J85+J86</f>
        <v>369096</v>
      </c>
      <c r="K84" s="27">
        <f t="shared" ref="K84:N84" si="155">K85+K86</f>
        <v>1377285</v>
      </c>
      <c r="L84" s="27">
        <f t="shared" si="155"/>
        <v>515969.99999999994</v>
      </c>
      <c r="M84" s="27">
        <f t="shared" si="155"/>
        <v>2262351</v>
      </c>
      <c r="N84" s="27">
        <f t="shared" si="155"/>
        <v>20361</v>
      </c>
      <c r="O84" s="37"/>
      <c r="P84" s="27">
        <f t="shared" ref="P84:Q84" si="156">P85+P86</f>
        <v>1770</v>
      </c>
      <c r="Q84" s="27">
        <f t="shared" si="156"/>
        <v>22131</v>
      </c>
    </row>
    <row r="85" spans="1:17" x14ac:dyDescent="0.25">
      <c r="A85" s="23"/>
      <c r="B85" s="28" t="s">
        <v>15</v>
      </c>
      <c r="C85" s="21">
        <f>C87+C88</f>
        <v>18</v>
      </c>
      <c r="D85" s="21">
        <f>D87+D88</f>
        <v>2162</v>
      </c>
      <c r="E85" s="21">
        <f t="shared" ref="E85:E88" si="157">F85+G85+H85</f>
        <v>1955</v>
      </c>
      <c r="F85" s="21">
        <f>F87+F88</f>
        <v>676</v>
      </c>
      <c r="G85" s="21">
        <f t="shared" ref="G85" si="158">G87+G88</f>
        <v>1009</v>
      </c>
      <c r="H85" s="21">
        <f>H87+H88</f>
        <v>270</v>
      </c>
      <c r="I85" s="21">
        <v>2730</v>
      </c>
      <c r="J85" s="30">
        <f>(I85*F85*0.2)</f>
        <v>369096</v>
      </c>
      <c r="K85" s="30">
        <f>(I85*G85*0.5)</f>
        <v>1377285</v>
      </c>
      <c r="L85" s="30">
        <f>(I85*H85*0.7)</f>
        <v>515969.99999999994</v>
      </c>
      <c r="M85" s="30">
        <f t="shared" ref="M85" si="159">J85+K85+L85</f>
        <v>2262351</v>
      </c>
      <c r="N85" s="30">
        <f t="shared" ref="N85" si="160">ROUND((M85*9/1000),0)</f>
        <v>20361</v>
      </c>
      <c r="O85" s="30"/>
      <c r="P85" s="30">
        <f t="shared" ref="P85" si="161">P87+P88</f>
        <v>1770</v>
      </c>
      <c r="Q85" s="30">
        <f t="shared" ref="Q85" si="162">N85+P85</f>
        <v>22131</v>
      </c>
    </row>
    <row r="86" spans="1:17" x14ac:dyDescent="0.25">
      <c r="A86" s="23"/>
      <c r="B86" s="28" t="s">
        <v>16</v>
      </c>
      <c r="C86" s="21"/>
      <c r="D86" s="21"/>
      <c r="E86" s="21"/>
      <c r="F86" s="21"/>
      <c r="G86" s="21"/>
      <c r="H86" s="29"/>
      <c r="I86" s="21"/>
      <c r="J86" s="30"/>
      <c r="K86" s="30"/>
      <c r="L86" s="30"/>
      <c r="M86" s="30"/>
      <c r="N86" s="30"/>
      <c r="O86" s="30"/>
      <c r="P86" s="30"/>
      <c r="Q86" s="37"/>
    </row>
    <row r="87" spans="1:17" x14ac:dyDescent="0.25">
      <c r="A87" s="23"/>
      <c r="B87" s="38" t="s">
        <v>30</v>
      </c>
      <c r="C87" s="39">
        <v>7</v>
      </c>
      <c r="D87" s="39">
        <v>1321</v>
      </c>
      <c r="E87" s="21">
        <f t="shared" si="157"/>
        <v>1167</v>
      </c>
      <c r="F87" s="39">
        <f>546-110</f>
        <v>436</v>
      </c>
      <c r="G87" s="39">
        <v>602</v>
      </c>
      <c r="H87" s="39">
        <f>279-150</f>
        <v>129</v>
      </c>
      <c r="I87" s="39"/>
      <c r="J87" s="40"/>
      <c r="K87" s="40"/>
      <c r="L87" s="40"/>
      <c r="M87" s="40"/>
      <c r="N87" s="40"/>
      <c r="O87" s="30">
        <v>621</v>
      </c>
      <c r="P87" s="40">
        <f>ROUND(D87*O87/1000,0)</f>
        <v>820</v>
      </c>
      <c r="Q87" s="44"/>
    </row>
    <row r="88" spans="1:17" x14ac:dyDescent="0.25">
      <c r="A88" s="23"/>
      <c r="B88" s="38" t="s">
        <v>31</v>
      </c>
      <c r="C88" s="39">
        <v>11</v>
      </c>
      <c r="D88" s="39">
        <v>841</v>
      </c>
      <c r="E88" s="21">
        <f t="shared" si="157"/>
        <v>788</v>
      </c>
      <c r="F88" s="39">
        <f>315-75</f>
        <v>240</v>
      </c>
      <c r="G88" s="39">
        <v>407</v>
      </c>
      <c r="H88" s="39">
        <f>191-50</f>
        <v>141</v>
      </c>
      <c r="I88" s="39"/>
      <c r="J88" s="40"/>
      <c r="K88" s="40"/>
      <c r="L88" s="40"/>
      <c r="M88" s="40"/>
      <c r="N88" s="40"/>
      <c r="O88" s="40">
        <v>1130</v>
      </c>
      <c r="P88" s="40">
        <f>ROUND(D88*O88/1000,0)</f>
        <v>950</v>
      </c>
      <c r="Q88" s="44"/>
    </row>
    <row r="89" spans="1:17" s="16" customFormat="1" ht="20.25" customHeight="1" x14ac:dyDescent="0.2">
      <c r="A89" s="24"/>
      <c r="B89" s="42" t="s">
        <v>40</v>
      </c>
      <c r="C89" s="31">
        <f>C5+C8+C11+C14+C17+C20+C23+C26+C29+C32+C35+C38+C41+C44+C49+C54+C59+C64+C69+C74+C79+C84</f>
        <v>410</v>
      </c>
      <c r="D89" s="31">
        <f>D5+D8+D11+D14+D17+D20+D23+D26+D29+D32+D35+D38+D41+D44+D49+D54+D59+D64+D69+D74+D79+D84</f>
        <v>119526</v>
      </c>
      <c r="E89" s="31">
        <f t="shared" ref="E89:H89" si="163">E5+E8+E11+E14+E17+E20+E23+E26+E29+E32+E35+E38+E41+E44+E49+E54+E59+E64+E69+E74+E79+E84</f>
        <v>100732</v>
      </c>
      <c r="F89" s="31">
        <f t="shared" si="163"/>
        <v>45473</v>
      </c>
      <c r="G89" s="31">
        <f t="shared" si="163"/>
        <v>44067</v>
      </c>
      <c r="H89" s="31">
        <f t="shared" si="163"/>
        <v>11192</v>
      </c>
      <c r="I89" s="31"/>
      <c r="J89" s="32">
        <f t="shared" ref="J89:Q89" si="164">J5+J8+J11+J14+J17+J20+J23+J26+J29+J32+J35+J38+J41+J44+J49+J54+J59+J64+J69+J74+J79+J84</f>
        <v>28325097.399999999</v>
      </c>
      <c r="K89" s="32">
        <f t="shared" si="164"/>
        <v>67522950.5</v>
      </c>
      <c r="L89" s="32">
        <f t="shared" si="164"/>
        <v>24192254.799999997</v>
      </c>
      <c r="M89" s="32">
        <f t="shared" si="164"/>
        <v>120040302.70000003</v>
      </c>
      <c r="N89" s="32">
        <f t="shared" si="164"/>
        <v>1080365.3999999999</v>
      </c>
      <c r="O89" s="31"/>
      <c r="P89" s="32">
        <f t="shared" si="164"/>
        <v>77802</v>
      </c>
      <c r="Q89" s="32">
        <f t="shared" si="164"/>
        <v>1158167.3999999999</v>
      </c>
    </row>
    <row r="90" spans="1:17" ht="15.75" customHeight="1" x14ac:dyDescent="0.25">
      <c r="A90" s="47" t="s">
        <v>41</v>
      </c>
      <c r="B90" s="47"/>
      <c r="C90" s="6">
        <f>C7+C10+C13+C16+C19+C22+C25+C28+C31+C34+C37+C40+C43+C46+C51+C56+C61+C66+C71+C76+C81+C86</f>
        <v>26</v>
      </c>
      <c r="D90" s="6">
        <f t="shared" ref="D90:H90" si="165">D7+D10+D13+D16+D19+D22+D25+D28+D31+D34+D37+D40+D43+D46+D51+D56+D61+D66+D71+D76+D81+D86</f>
        <v>3775</v>
      </c>
      <c r="E90" s="6">
        <f t="shared" si="165"/>
        <v>3096</v>
      </c>
      <c r="F90" s="6">
        <f t="shared" si="165"/>
        <v>1487</v>
      </c>
      <c r="G90" s="6">
        <f t="shared" si="165"/>
        <v>1367</v>
      </c>
      <c r="H90" s="6">
        <f t="shared" si="165"/>
        <v>242</v>
      </c>
      <c r="I90" s="6">
        <v>2082</v>
      </c>
      <c r="J90" s="12">
        <f t="shared" ref="J90:N90" si="166">J7+J10+J13+J16+J19+J22+J25+J28+J31+J34+J37+J40+J43+J46+J51+J56+J61+J66+J71+J76+J81+J86</f>
        <v>619186.80000000005</v>
      </c>
      <c r="K90" s="12">
        <f t="shared" si="166"/>
        <v>1423047</v>
      </c>
      <c r="L90" s="12">
        <f t="shared" si="166"/>
        <v>352690.8</v>
      </c>
      <c r="M90" s="12">
        <f t="shared" si="166"/>
        <v>2394924.6</v>
      </c>
      <c r="N90" s="12">
        <f t="shared" si="166"/>
        <v>21555</v>
      </c>
      <c r="O90" s="12"/>
      <c r="P90" s="12">
        <f t="shared" ref="P90:Q90" si="167">P7+P10+P13+P16+P19+P22+P25+P28+P31+P34+P37+P40+P43+P46+P51+P56+P61+P66+P71+P76+P81+P86</f>
        <v>2405</v>
      </c>
      <c r="Q90" s="12">
        <f t="shared" si="167"/>
        <v>23960</v>
      </c>
    </row>
    <row r="91" spans="1:17" x14ac:dyDescent="0.25">
      <c r="A91" s="13"/>
      <c r="B91" s="13"/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</row>
    <row r="92" spans="1:17" ht="18.75" x14ac:dyDescent="0.25">
      <c r="A92" s="13"/>
      <c r="B92" s="13"/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20"/>
    </row>
    <row r="93" spans="1:17" x14ac:dyDescent="0.25">
      <c r="A93" s="15"/>
      <c r="B93" s="15"/>
      <c r="C93" s="15"/>
      <c r="D93" s="15"/>
      <c r="E93" s="8"/>
      <c r="N93" s="15"/>
      <c r="Q93" s="17"/>
    </row>
    <row r="96" spans="1:17" x14ac:dyDescent="0.25">
      <c r="A96" s="15"/>
      <c r="B96" s="15"/>
      <c r="C96" s="15"/>
    </row>
    <row r="97" spans="1:4" x14ac:dyDescent="0.25">
      <c r="A97" s="15"/>
      <c r="B97" s="15"/>
      <c r="C97" s="15"/>
      <c r="D97" s="9"/>
    </row>
  </sheetData>
  <mergeCells count="15">
    <mergeCell ref="Q2:Q3"/>
    <mergeCell ref="A90:B90"/>
    <mergeCell ref="A1:Q1"/>
    <mergeCell ref="A2:A3"/>
    <mergeCell ref="B2:B3"/>
    <mergeCell ref="C2:C3"/>
    <mergeCell ref="D2:D3"/>
    <mergeCell ref="E2:E3"/>
    <mergeCell ref="F2:H2"/>
    <mergeCell ref="I2:I3"/>
    <mergeCell ref="J2:L2"/>
    <mergeCell ref="M2:M3"/>
    <mergeCell ref="N2:N3"/>
    <mergeCell ref="O2:O3"/>
    <mergeCell ref="P2:P3"/>
  </mergeCells>
  <pageMargins left="0.11811023622047245" right="0.11811023622047245" top="0.31" bottom="0.15748031496062992" header="0.17" footer="0.19685039370078741"/>
  <pageSetup paperSize="9" scale="37" firstPageNumber="2412" orientation="landscape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 год</vt:lpstr>
      <vt:lpstr>2021 год</vt:lpstr>
      <vt:lpstr>2022 год</vt:lpstr>
      <vt:lpstr>'2020 год'!Область_печати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2019-10-18T10:10:51Z</dcterms:modified>
</cp:coreProperties>
</file>